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320" windowHeight="9735" activeTab="1"/>
  </bookViews>
  <sheets>
    <sheet name="Пример1" sheetId="2" r:id="rId1"/>
    <sheet name="Сквозной пример" sheetId="3" r:id="rId2"/>
  </sheets>
  <calcPr calcId="125725"/>
</workbook>
</file>

<file path=xl/calcChain.xml><?xml version="1.0" encoding="utf-8"?>
<calcChain xmlns="http://schemas.openxmlformats.org/spreadsheetml/2006/main">
  <c r="H27" i="3"/>
  <c r="F27"/>
  <c r="F19"/>
  <c r="F20"/>
  <c r="F18"/>
  <c r="H21"/>
  <c r="G20"/>
  <c r="G19"/>
  <c r="G18"/>
  <c r="H17" s="1"/>
  <c r="B11"/>
  <c r="F17"/>
  <c r="F16"/>
  <c r="B9"/>
  <c r="H16"/>
  <c r="C9" l="1"/>
  <c r="C10"/>
  <c r="C11"/>
  <c r="B10"/>
  <c r="I3" i="2"/>
  <c r="I4"/>
  <c r="I5"/>
  <c r="H3"/>
  <c r="H4"/>
  <c r="H5"/>
  <c r="G4"/>
  <c r="G5"/>
  <c r="G3"/>
  <c r="F24" i="3" l="1"/>
  <c r="G24"/>
  <c r="G25"/>
  <c r="F25"/>
  <c r="G23"/>
  <c r="H22" s="1"/>
  <c r="H26" s="1"/>
  <c r="F23"/>
  <c r="H28" l="1"/>
  <c r="H29"/>
  <c r="H30" s="1"/>
  <c r="F28"/>
</calcChain>
</file>

<file path=xl/sharedStrings.xml><?xml version="1.0" encoding="utf-8"?>
<sst xmlns="http://schemas.openxmlformats.org/spreadsheetml/2006/main" count="62" uniqueCount="46">
  <si>
    <t>Площадь, кв. м</t>
  </si>
  <si>
    <t>Клиент</t>
  </si>
  <si>
    <t>Обслуживающий персонал, человек</t>
  </si>
  <si>
    <t>Страховая стоимость товаров, руб.</t>
  </si>
  <si>
    <t>А</t>
  </si>
  <si>
    <t>Б</t>
  </si>
  <si>
    <t>В</t>
  </si>
  <si>
    <t>Исходные данные</t>
  </si>
  <si>
    <t>Распределение стоимости охраны объекта</t>
  </si>
  <si>
    <t>Всего</t>
  </si>
  <si>
    <t>По площади</t>
  </si>
  <si>
    <t>По персоналу</t>
  </si>
  <si>
    <t>По страховой сумме</t>
  </si>
  <si>
    <t>Бюджетные производственные накладные расходы</t>
  </si>
  <si>
    <t>База распределения производственных накладных расходов</t>
  </si>
  <si>
    <t>Центр 
затрат</t>
  </si>
  <si>
    <t>Единица измерения</t>
  </si>
  <si>
    <t>машино-часов</t>
  </si>
  <si>
    <t>рабочих часов</t>
  </si>
  <si>
    <t>Статья</t>
  </si>
  <si>
    <t>Центр затрат А</t>
  </si>
  <si>
    <t>Центр затрат Б</t>
  </si>
  <si>
    <t>Центр затрат В</t>
  </si>
  <si>
    <t>Ставка в час</t>
  </si>
  <si>
    <t>Аренда дизельного погрузчика для разгрузки материалов</t>
  </si>
  <si>
    <t>Машино-часы, потраченные на заказ</t>
  </si>
  <si>
    <t>Расходы (или часы)</t>
  </si>
  <si>
    <t>Доходы от реализации (счет клиенту)</t>
  </si>
  <si>
    <t>Рис. 2. Месячный бюджет «Альянс-ДМ» по центрам затрат</t>
  </si>
  <si>
    <t>Рис. 4. Ставки производственных накладных расходов по центрам затрат</t>
  </si>
  <si>
    <t>Ставка</t>
  </si>
  <si>
    <t>руб. за машино-час</t>
  </si>
  <si>
    <t>руб. за час работы</t>
  </si>
  <si>
    <t>Формула 
для расчета</t>
  </si>
  <si>
    <t>Единица 
измерения</t>
  </si>
  <si>
    <t>Прямые затраты на материалы</t>
  </si>
  <si>
    <t>Расходы по статьям</t>
  </si>
  <si>
    <t>Расходы по центрам затрат</t>
  </si>
  <si>
    <t>Прямы затраты на оплату труда</t>
  </si>
  <si>
    <t>Прямые расходы на аренду погрузчика</t>
  </si>
  <si>
    <t>Накладные производственные расходы</t>
  </si>
  <si>
    <t>Итого производственные расходы</t>
  </si>
  <si>
    <t>Прибыль</t>
  </si>
  <si>
    <t>Совокопные затраты</t>
  </si>
  <si>
    <t>Рис. 3. Информация по заказу</t>
  </si>
  <si>
    <t>Рис. 5. Анализ расходов и прибыли по заказу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</si>
</sst>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#,##0&quot;р.&quot;"/>
    <numFmt numFmtId="165" formatCode="_-* #,##0&quot;р.&quot;_-;\-* #,##0&quot;р.&quot;_-;_-* &quot;-&quot;??&quot;р.&quot;_-;_-@_-"/>
    <numFmt numFmtId="166" formatCode="0&quot; часов&quot;"/>
    <numFmt numFmtId="167" formatCode="0&quot; машино-часов&quot;"/>
    <numFmt numFmtId="168" formatCode="#,##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0" applyNumberFormat="1" applyBorder="1" applyAlignment="1">
      <alignment horizontal="right" vertical="top" wrapText="1"/>
    </xf>
    <xf numFmtId="0" fontId="2" fillId="0" borderId="0" xfId="0" applyFont="1"/>
    <xf numFmtId="0" fontId="0" fillId="0" borderId="0" xfId="0" applyFill="1" applyBorder="1" applyAlignment="1">
      <alignment horizontal="center" vertical="top" wrapText="1"/>
    </xf>
    <xf numFmtId="165" fontId="0" fillId="0" borderId="0" xfId="1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top"/>
    </xf>
    <xf numFmtId="165" fontId="0" fillId="0" borderId="0" xfId="0" applyNumberForma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5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166" fontId="0" fillId="0" borderId="1" xfId="0" applyNumberFormat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67" fontId="0" fillId="0" borderId="1" xfId="0" applyNumberForma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" xfId="0" applyNumberFormat="1" applyBorder="1" applyAlignment="1">
      <alignment horizontal="center" vertical="top"/>
    </xf>
    <xf numFmtId="168" fontId="0" fillId="0" borderId="1" xfId="0" applyNumberFormat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164" fontId="0" fillId="3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C14" sqref="C14:D15"/>
    </sheetView>
  </sheetViews>
  <sheetFormatPr defaultRowHeight="15"/>
  <cols>
    <col min="1" max="1" width="7.5703125" bestFit="1" customWidth="1"/>
    <col min="2" max="2" width="14.85546875" bestFit="1" customWidth="1"/>
    <col min="3" max="3" width="35.140625" bestFit="1" customWidth="1"/>
    <col min="4" max="4" width="33.28515625" bestFit="1" customWidth="1"/>
    <col min="6" max="6" width="8.85546875" customWidth="1"/>
    <col min="7" max="7" width="12.140625" bestFit="1" customWidth="1"/>
    <col min="8" max="8" width="13.7109375" bestFit="1" customWidth="1"/>
    <col min="9" max="9" width="19.7109375" bestFit="1" customWidth="1"/>
  </cols>
  <sheetData>
    <row r="1" spans="1:9">
      <c r="A1" s="5" t="s">
        <v>7</v>
      </c>
      <c r="F1" s="5" t="s">
        <v>8</v>
      </c>
    </row>
    <row r="2" spans="1:9" s="1" customFormat="1">
      <c r="A2" s="8" t="s">
        <v>1</v>
      </c>
      <c r="B2" s="8" t="s">
        <v>0</v>
      </c>
      <c r="C2" s="8" t="s">
        <v>2</v>
      </c>
      <c r="D2" s="8" t="s">
        <v>3</v>
      </c>
      <c r="F2" s="10" t="s">
        <v>1</v>
      </c>
      <c r="G2" s="10" t="s">
        <v>10</v>
      </c>
      <c r="H2" s="10" t="s">
        <v>11</v>
      </c>
      <c r="I2" s="10" t="s">
        <v>12</v>
      </c>
    </row>
    <row r="3" spans="1:9">
      <c r="A3" s="2" t="s">
        <v>4</v>
      </c>
      <c r="B3" s="3">
        <v>1200</v>
      </c>
      <c r="C3" s="3">
        <v>45</v>
      </c>
      <c r="D3" s="4">
        <v>20000000</v>
      </c>
      <c r="F3" s="11" t="s">
        <v>4</v>
      </c>
      <c r="G3" s="12">
        <f t="shared" ref="G3:I5" si="0">B3/SUM(B$3:B$5)*$G$7</f>
        <v>128571.42857142857</v>
      </c>
      <c r="H3" s="12">
        <f t="shared" si="0"/>
        <v>186206.89655172414</v>
      </c>
      <c r="I3" s="12">
        <f t="shared" si="0"/>
        <v>266666.66666666663</v>
      </c>
    </row>
    <row r="4" spans="1:9">
      <c r="A4" s="2" t="s">
        <v>5</v>
      </c>
      <c r="B4" s="3">
        <v>2000</v>
      </c>
      <c r="C4" s="3">
        <v>40</v>
      </c>
      <c r="D4" s="4">
        <v>10000000</v>
      </c>
      <c r="F4" s="11" t="s">
        <v>5</v>
      </c>
      <c r="G4" s="12">
        <f t="shared" si="0"/>
        <v>214285.71428571429</v>
      </c>
      <c r="H4" s="12">
        <f t="shared" si="0"/>
        <v>165517.24137931035</v>
      </c>
      <c r="I4" s="12">
        <f t="shared" si="0"/>
        <v>133333.33333333331</v>
      </c>
    </row>
    <row r="5" spans="1:9">
      <c r="A5" s="2" t="s">
        <v>6</v>
      </c>
      <c r="B5" s="3">
        <v>2400</v>
      </c>
      <c r="C5" s="3">
        <v>60</v>
      </c>
      <c r="D5" s="4">
        <v>15000000</v>
      </c>
      <c r="F5" s="11" t="s">
        <v>6</v>
      </c>
      <c r="G5" s="12">
        <f t="shared" si="0"/>
        <v>257142.85714285713</v>
      </c>
      <c r="H5" s="12">
        <f t="shared" si="0"/>
        <v>248275.86206896551</v>
      </c>
      <c r="I5" s="12">
        <f t="shared" si="0"/>
        <v>200000</v>
      </c>
    </row>
    <row r="7" spans="1:9">
      <c r="F7" s="6" t="s">
        <v>9</v>
      </c>
      <c r="G7" s="7">
        <v>600000</v>
      </c>
    </row>
    <row r="12" spans="1:9">
      <c r="B12" s="9"/>
      <c r="C12" s="9"/>
      <c r="D12" s="9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29" sqref="C29"/>
    </sheetView>
  </sheetViews>
  <sheetFormatPr defaultRowHeight="15"/>
  <cols>
    <col min="1" max="1" width="8.140625" style="15" customWidth="1"/>
    <col min="2" max="2" width="26.140625" style="15" customWidth="1"/>
    <col min="3" max="3" width="25.5703125" style="15" customWidth="1"/>
    <col min="4" max="4" width="19.28515625" style="15" customWidth="1"/>
    <col min="5" max="5" width="11" style="15" customWidth="1"/>
    <col min="6" max="6" width="43.7109375" style="15" customWidth="1"/>
    <col min="7" max="7" width="19" style="15" bestFit="1" customWidth="1"/>
    <col min="8" max="8" width="12.5703125" style="15" bestFit="1" customWidth="1"/>
    <col min="9" max="16384" width="9.140625" style="15"/>
  </cols>
  <sheetData>
    <row r="1" spans="1:8">
      <c r="A1" s="14" t="s">
        <v>28</v>
      </c>
      <c r="F1" s="14" t="s">
        <v>44</v>
      </c>
    </row>
    <row r="2" spans="1:8" ht="45">
      <c r="A2" s="11" t="s">
        <v>15</v>
      </c>
      <c r="B2" s="11" t="s">
        <v>13</v>
      </c>
      <c r="C2" s="11" t="s">
        <v>14</v>
      </c>
      <c r="D2" s="16" t="s">
        <v>16</v>
      </c>
      <c r="F2" s="10" t="s">
        <v>19</v>
      </c>
      <c r="G2" s="10" t="s">
        <v>26</v>
      </c>
      <c r="H2" s="10" t="s">
        <v>23</v>
      </c>
    </row>
    <row r="3" spans="1:8">
      <c r="A3" s="10" t="s">
        <v>4</v>
      </c>
      <c r="B3" s="17">
        <v>1260000</v>
      </c>
      <c r="C3" s="18">
        <v>12400</v>
      </c>
      <c r="D3" s="10" t="s">
        <v>17</v>
      </c>
      <c r="F3" s="19" t="s">
        <v>35</v>
      </c>
      <c r="G3" s="20">
        <v>254000</v>
      </c>
      <c r="H3" s="21"/>
    </row>
    <row r="4" spans="1:8">
      <c r="A4" s="10" t="s">
        <v>5</v>
      </c>
      <c r="B4" s="17">
        <v>1540000</v>
      </c>
      <c r="C4" s="18">
        <v>20500</v>
      </c>
      <c r="D4" s="10" t="s">
        <v>17</v>
      </c>
      <c r="F4" s="21" t="s">
        <v>38</v>
      </c>
      <c r="G4" s="21"/>
      <c r="H4" s="21"/>
    </row>
    <row r="5" spans="1:8">
      <c r="A5" s="10" t="s">
        <v>6</v>
      </c>
      <c r="B5" s="17">
        <v>1370000</v>
      </c>
      <c r="C5" s="18">
        <v>18200</v>
      </c>
      <c r="D5" s="10" t="s">
        <v>18</v>
      </c>
      <c r="F5" s="22" t="s">
        <v>20</v>
      </c>
      <c r="G5" s="23">
        <v>112</v>
      </c>
      <c r="H5" s="20">
        <v>210</v>
      </c>
    </row>
    <row r="6" spans="1:8">
      <c r="F6" s="22" t="s">
        <v>21</v>
      </c>
      <c r="G6" s="23">
        <v>55</v>
      </c>
      <c r="H6" s="20">
        <v>190</v>
      </c>
    </row>
    <row r="7" spans="1:8">
      <c r="A7" s="24" t="s">
        <v>29</v>
      </c>
      <c r="F7" s="22" t="s">
        <v>22</v>
      </c>
      <c r="G7" s="23">
        <v>130</v>
      </c>
      <c r="H7" s="20">
        <v>170</v>
      </c>
    </row>
    <row r="8" spans="1:8" ht="30">
      <c r="A8" s="11" t="s">
        <v>15</v>
      </c>
      <c r="B8" s="11" t="s">
        <v>33</v>
      </c>
      <c r="C8" s="13" t="s">
        <v>30</v>
      </c>
      <c r="D8" s="16" t="s">
        <v>34</v>
      </c>
      <c r="F8" s="25" t="s">
        <v>24</v>
      </c>
      <c r="G8" s="20">
        <v>13000</v>
      </c>
      <c r="H8" s="21"/>
    </row>
    <row r="9" spans="1:8">
      <c r="A9" s="10" t="s">
        <v>4</v>
      </c>
      <c r="B9" s="29" t="str">
        <f>CONCATENATE(DOLLAR(B3,0)," / ",TEXT(C3,"# ##0"))</f>
        <v>1 260 000р. / 12 400</v>
      </c>
      <c r="C9" s="30">
        <f>B3/C3</f>
        <v>101.61290322580645</v>
      </c>
      <c r="D9" s="16" t="s">
        <v>31</v>
      </c>
      <c r="F9" s="26" t="s">
        <v>25</v>
      </c>
      <c r="G9" s="23"/>
      <c r="H9" s="21"/>
    </row>
    <row r="10" spans="1:8">
      <c r="A10" s="10" t="s">
        <v>5</v>
      </c>
      <c r="B10" s="29" t="str">
        <f>CONCATENATE(DOLLAR(B4,0)," / ",TEXT(C4,"# ##0"))</f>
        <v>1 540 000р. / 20 500</v>
      </c>
      <c r="C10" s="30">
        <f t="shared" ref="C10:C11" si="0">B4/C4</f>
        <v>75.121951219512198</v>
      </c>
      <c r="D10" s="16" t="s">
        <v>31</v>
      </c>
      <c r="F10" s="22" t="s">
        <v>20</v>
      </c>
      <c r="G10" s="27">
        <v>250</v>
      </c>
      <c r="H10" s="21"/>
    </row>
    <row r="11" spans="1:8">
      <c r="A11" s="10" t="s">
        <v>6</v>
      </c>
      <c r="B11" s="29" t="str">
        <f>CONCATENATE(DOLLAR(B5,0)," / ",TEXT(C5,"# ##0"))</f>
        <v>1 370 000р. / 18 200</v>
      </c>
      <c r="C11" s="30">
        <f t="shared" si="0"/>
        <v>75.27472527472527</v>
      </c>
      <c r="D11" s="16" t="s">
        <v>32</v>
      </c>
      <c r="F11" s="22" t="s">
        <v>21</v>
      </c>
      <c r="G11" s="27">
        <v>480</v>
      </c>
      <c r="H11" s="21"/>
    </row>
    <row r="12" spans="1:8">
      <c r="A12" s="28"/>
      <c r="B12" s="28"/>
      <c r="C12" s="28"/>
      <c r="D12" s="28"/>
      <c r="F12" s="26" t="s">
        <v>27</v>
      </c>
      <c r="G12" s="20">
        <v>610000</v>
      </c>
      <c r="H12" s="21"/>
    </row>
    <row r="13" spans="1:8">
      <c r="A13" s="28"/>
      <c r="B13" s="28"/>
      <c r="C13" s="28"/>
      <c r="D13" s="28"/>
    </row>
    <row r="14" spans="1:8">
      <c r="F14" s="14" t="s">
        <v>45</v>
      </c>
    </row>
    <row r="15" spans="1:8" ht="30">
      <c r="F15" s="11" t="s">
        <v>19</v>
      </c>
      <c r="G15" s="11" t="s">
        <v>37</v>
      </c>
      <c r="H15" s="11" t="s">
        <v>36</v>
      </c>
    </row>
    <row r="16" spans="1:8">
      <c r="F16" s="19" t="str">
        <f>F3</f>
        <v>Прямые затраты на материалы</v>
      </c>
      <c r="G16" s="21"/>
      <c r="H16" s="20">
        <f>G3</f>
        <v>254000</v>
      </c>
    </row>
    <row r="17" spans="6:8">
      <c r="F17" s="21" t="str">
        <f>F4</f>
        <v>Прямы затраты на оплату труда</v>
      </c>
      <c r="G17" s="31"/>
      <c r="H17" s="32">
        <f>SUM(G18:G20)</f>
        <v>56070</v>
      </c>
    </row>
    <row r="18" spans="6:8">
      <c r="F18" s="26" t="str">
        <f>CONCATENATE("     ",F5," ( ",G5," часов * ",DOLLAR(H5,0),")")</f>
        <v xml:space="preserve">     Центр затрат А ( 112 часов * 210р.)</v>
      </c>
      <c r="G18" s="32">
        <f>G5*H5</f>
        <v>23520</v>
      </c>
      <c r="H18" s="31"/>
    </row>
    <row r="19" spans="6:8">
      <c r="F19" s="26" t="str">
        <f>CONCATENATE("     ",F6," ( ",G6," часов * ",DOLLAR(H6,0),")")</f>
        <v xml:space="preserve">     Центр затрат Б ( 55 часов * 190р.)</v>
      </c>
      <c r="G19" s="32">
        <f>G6*H6</f>
        <v>10450</v>
      </c>
      <c r="H19" s="31"/>
    </row>
    <row r="20" spans="6:8">
      <c r="F20" s="26" t="str">
        <f>CONCATENATE("     ",F7," ( ",G7," часов * ",DOLLAR(H7,0),")")</f>
        <v xml:space="preserve">     Центр затрат В ( 130 часов * 170р.)</v>
      </c>
      <c r="G20" s="32">
        <f>G7*H7</f>
        <v>22100</v>
      </c>
      <c r="H20" s="31"/>
    </row>
    <row r="21" spans="6:8">
      <c r="F21" s="21" t="s">
        <v>39</v>
      </c>
      <c r="G21" s="21"/>
      <c r="H21" s="20">
        <f>G8</f>
        <v>13000</v>
      </c>
    </row>
    <row r="22" spans="6:8">
      <c r="F22" s="21" t="s">
        <v>40</v>
      </c>
      <c r="G22" s="33"/>
      <c r="H22" s="34">
        <f>SUM(G23:G25)</f>
        <v>71247.476677531755</v>
      </c>
    </row>
    <row r="23" spans="6:8">
      <c r="F23" s="26" t="str">
        <f>CONCATENATE("     ",F10," ( ",G10," машино-часов * ",TEXT(C9,"# ##0,0"),")")</f>
        <v xml:space="preserve">     Центр затрат А ( 250 машино-часов * 101,6)</v>
      </c>
      <c r="G23" s="34">
        <f>G10*C9</f>
        <v>25403.225806451614</v>
      </c>
      <c r="H23" s="33"/>
    </row>
    <row r="24" spans="6:8">
      <c r="F24" s="26" t="str">
        <f>CONCATENATE("     ",F11," ( ",G11," машино-часов * ",TEXT(C10,"# ##0,0"),")")</f>
        <v xml:space="preserve">     Центр затрат Б ( 480 машино-часов * 75,1)</v>
      </c>
      <c r="G24" s="34">
        <f>G11*C10</f>
        <v>36058.536585365859</v>
      </c>
      <c r="H24" s="33"/>
    </row>
    <row r="25" spans="6:8">
      <c r="F25" s="26" t="str">
        <f>CONCATENATE("     ",F7," ( ",G7," часов труда * ",TEXT(C11,"# ##0,0"),")")</f>
        <v xml:space="preserve">     Центр затрат В ( 130 часов труда * 75,3)</v>
      </c>
      <c r="G25" s="34">
        <f>G7*C11</f>
        <v>9785.7142857142844</v>
      </c>
      <c r="H25" s="33"/>
    </row>
    <row r="26" spans="6:8">
      <c r="F26" s="21" t="s">
        <v>41</v>
      </c>
      <c r="G26" s="21"/>
      <c r="H26" s="35">
        <f>SUM(H16:H25)</f>
        <v>394317.47667753173</v>
      </c>
    </row>
    <row r="27" spans="6:8">
      <c r="F27" s="21" t="str">
        <f>CONCATENATE("Коммерческие расходы (9% * ",DOLLAR(G12,0),")")</f>
        <v>Коммерческие расходы (9% * 610 000р.)</v>
      </c>
      <c r="G27" s="21"/>
      <c r="H27" s="35">
        <f>9%*G12</f>
        <v>54900</v>
      </c>
    </row>
    <row r="28" spans="6:8">
      <c r="F28" s="21" t="str">
        <f>CONCATENATE("Административные расходы (13% * ",DOLLAR(H26,0),")")</f>
        <v>Административные расходы (13% * 394 317р.)</v>
      </c>
      <c r="G28" s="21"/>
      <c r="H28" s="35">
        <f>13%*H26</f>
        <v>51261.271968079127</v>
      </c>
    </row>
    <row r="29" spans="6:8">
      <c r="F29" s="21" t="s">
        <v>43</v>
      </c>
      <c r="G29" s="21"/>
      <c r="H29" s="35">
        <f>SUM(H26:H28)</f>
        <v>500478.74864561087</v>
      </c>
    </row>
    <row r="30" spans="6:8">
      <c r="F30" s="21" t="s">
        <v>42</v>
      </c>
      <c r="G30" s="21"/>
      <c r="H30" s="20">
        <f>G12-H29</f>
        <v>109521.25135438913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Пример1</vt:lpstr>
      <vt:lpstr>Сквозной 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Baguzin</cp:lastModifiedBy>
  <dcterms:created xsi:type="dcterms:W3CDTF">2011-07-10T12:51:08Z</dcterms:created>
  <dcterms:modified xsi:type="dcterms:W3CDTF">2011-09-01T10:37:35Z</dcterms:modified>
</cp:coreProperties>
</file>