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75" windowHeight="11955" firstSheet="2" activeTab="11"/>
  </bookViews>
  <sheets>
    <sheet name="Табл1-8" sheetId="2" r:id="rId1"/>
    <sheet name="Табл9-11" sheetId="7" r:id="rId2"/>
    <sheet name="Табл12" sheetId="8" r:id="rId3"/>
    <sheet name="Табл13" sheetId="9" r:id="rId4"/>
    <sheet name="Табл14" sheetId="10" r:id="rId5"/>
    <sheet name="Табл15" sheetId="13" r:id="rId6"/>
    <sheet name="Табл16-17" sheetId="14" r:id="rId7"/>
    <sheet name="Табл18-27" sheetId="15" r:id="rId8"/>
    <sheet name="Табл28-31" sheetId="17" r:id="rId9"/>
    <sheet name="Табл32-33" sheetId="19" r:id="rId10"/>
    <sheet name="Табл34-35" sheetId="20" r:id="rId11"/>
    <sheet name="Табл36-37" sheetId="22" r:id="rId12"/>
  </sheets>
  <calcPr calcId="125725"/>
</workbook>
</file>

<file path=xl/calcChain.xml><?xml version="1.0" encoding="utf-8"?>
<calcChain xmlns="http://schemas.openxmlformats.org/spreadsheetml/2006/main">
  <c r="E18" i="22"/>
  <c r="F11"/>
  <c r="F12"/>
  <c r="F13"/>
  <c r="F14"/>
  <c r="F15"/>
  <c r="F16"/>
  <c r="F17"/>
  <c r="F10"/>
  <c r="D18"/>
  <c r="F18"/>
  <c r="C18"/>
  <c r="E4"/>
  <c r="E5"/>
  <c r="E6"/>
  <c r="E3"/>
  <c r="E7" s="1"/>
  <c r="D7"/>
  <c r="C7"/>
  <c r="F35" i="20"/>
  <c r="F34"/>
  <c r="C17"/>
  <c r="F17" s="1"/>
  <c r="E49"/>
  <c r="G49" s="1"/>
  <c r="E48"/>
  <c r="F25" s="1"/>
  <c r="E47"/>
  <c r="F24" s="1"/>
  <c r="E46"/>
  <c r="G46" s="1"/>
  <c r="E45"/>
  <c r="G45" s="1"/>
  <c r="E44"/>
  <c r="G44" s="1"/>
  <c r="E43"/>
  <c r="C12"/>
  <c r="F30" s="1"/>
  <c r="H49" i="19"/>
  <c r="I49"/>
  <c r="H52"/>
  <c r="I50"/>
  <c r="I52" s="1"/>
  <c r="C41"/>
  <c r="E26"/>
  <c r="G26" s="1"/>
  <c r="D37"/>
  <c r="E37" s="1"/>
  <c r="C33"/>
  <c r="E25"/>
  <c r="G25" s="1"/>
  <c r="E28"/>
  <c r="I44" s="1"/>
  <c r="E27"/>
  <c r="G27" s="1"/>
  <c r="E24"/>
  <c r="I40" s="1"/>
  <c r="E23"/>
  <c r="G23" s="1"/>
  <c r="E22"/>
  <c r="G22" s="1"/>
  <c r="E21"/>
  <c r="C13"/>
  <c r="H46" s="1"/>
  <c r="F31" i="20" l="1"/>
  <c r="F29" s="1"/>
  <c r="F33"/>
  <c r="E21"/>
  <c r="E22" s="1"/>
  <c r="E23" s="1"/>
  <c r="E24" s="1"/>
  <c r="E25" s="1"/>
  <c r="E26" s="1"/>
  <c r="G47"/>
  <c r="G48"/>
  <c r="F20"/>
  <c r="F26"/>
  <c r="G33" i="19"/>
  <c r="I43"/>
  <c r="I41"/>
  <c r="I42"/>
  <c r="I37"/>
  <c r="H37"/>
  <c r="I46"/>
  <c r="G24"/>
  <c r="G28"/>
  <c r="D38"/>
  <c r="F38" s="1"/>
  <c r="D39" s="1"/>
  <c r="E38" i="17"/>
  <c r="E39"/>
  <c r="F39" i="19" l="1"/>
  <c r="D40" s="1"/>
  <c r="H39"/>
  <c r="H38"/>
  <c r="E38"/>
  <c r="E7" i="17"/>
  <c r="F28" s="1"/>
  <c r="E6"/>
  <c r="F27" s="1"/>
  <c r="F24"/>
  <c r="E27"/>
  <c r="C24"/>
  <c r="C12"/>
  <c r="D15" s="1"/>
  <c r="F21" i="20" l="1"/>
  <c r="H40" i="19"/>
  <c r="F40"/>
  <c r="I38"/>
  <c r="G38"/>
  <c r="D41"/>
  <c r="E39"/>
  <c r="G7" i="17"/>
  <c r="F30"/>
  <c r="F32" s="1"/>
  <c r="G6"/>
  <c r="D28"/>
  <c r="E28"/>
  <c r="F12"/>
  <c r="E15"/>
  <c r="F15"/>
  <c r="F85" i="15"/>
  <c r="E83"/>
  <c r="D83"/>
  <c r="E82"/>
  <c r="E84" s="1"/>
  <c r="D82"/>
  <c r="D84" s="1"/>
  <c r="F74"/>
  <c r="F72"/>
  <c r="F73"/>
  <c r="F71"/>
  <c r="F70"/>
  <c r="E72"/>
  <c r="D72"/>
  <c r="E71"/>
  <c r="D71"/>
  <c r="E70"/>
  <c r="D70"/>
  <c r="D37"/>
  <c r="E61"/>
  <c r="D61"/>
  <c r="E37"/>
  <c r="G22"/>
  <c r="D45" s="1"/>
  <c r="D46" s="1"/>
  <c r="D60" s="1"/>
  <c r="G23"/>
  <c r="G21"/>
  <c r="D38" s="1"/>
  <c r="F22" i="20" l="1"/>
  <c r="I39" i="19"/>
  <c r="G39"/>
  <c r="G40" s="1"/>
  <c r="G41" s="1"/>
  <c r="G42" s="1"/>
  <c r="G43" s="1"/>
  <c r="G44" s="1"/>
  <c r="F41"/>
  <c r="H41"/>
  <c r="I45"/>
  <c r="F83" i="15"/>
  <c r="F84"/>
  <c r="F86" s="1"/>
  <c r="F82"/>
  <c r="D39"/>
  <c r="D59" s="1"/>
  <c r="E45"/>
  <c r="E46" s="1"/>
  <c r="E60" s="1"/>
  <c r="E38"/>
  <c r="E39" s="1"/>
  <c r="E59" s="1"/>
  <c r="D8"/>
  <c r="F6" s="1"/>
  <c r="G31" i="14"/>
  <c r="I49"/>
  <c r="H49"/>
  <c r="I46"/>
  <c r="H46"/>
  <c r="G43"/>
  <c r="G42"/>
  <c r="F42"/>
  <c r="E42"/>
  <c r="D42"/>
  <c r="D43"/>
  <c r="F43" s="1"/>
  <c r="E27"/>
  <c r="G27" s="1"/>
  <c r="F27"/>
  <c r="F26"/>
  <c r="D27"/>
  <c r="D26"/>
  <c r="E26" s="1"/>
  <c r="G26" s="1"/>
  <c r="I51"/>
  <c r="D35"/>
  <c r="H35" s="1"/>
  <c r="C31"/>
  <c r="D36" s="1"/>
  <c r="E25"/>
  <c r="G25" s="1"/>
  <c r="E24"/>
  <c r="G24" s="1"/>
  <c r="E23"/>
  <c r="G23" s="1"/>
  <c r="E22"/>
  <c r="G22" s="1"/>
  <c r="E21"/>
  <c r="G21" s="1"/>
  <c r="E20"/>
  <c r="G20" s="1"/>
  <c r="E19"/>
  <c r="C12"/>
  <c r="F23" i="20" l="1"/>
  <c r="I47" i="19"/>
  <c r="I53" s="1"/>
  <c r="I51"/>
  <c r="F7" i="15"/>
  <c r="F5"/>
  <c r="F4"/>
  <c r="H42" i="14"/>
  <c r="I42"/>
  <c r="H43"/>
  <c r="I43"/>
  <c r="E43"/>
  <c r="H36"/>
  <c r="F36"/>
  <c r="D37" s="1"/>
  <c r="E36"/>
  <c r="E35"/>
  <c r="I35" s="1"/>
  <c r="E33" i="13"/>
  <c r="E34"/>
  <c r="E35"/>
  <c r="E36"/>
  <c r="E37"/>
  <c r="E38"/>
  <c r="I44"/>
  <c r="D32"/>
  <c r="C28"/>
  <c r="G28" s="1"/>
  <c r="E24"/>
  <c r="G24" s="1"/>
  <c r="E23"/>
  <c r="I37" s="1"/>
  <c r="E22"/>
  <c r="I36" s="1"/>
  <c r="E21"/>
  <c r="G21" s="1"/>
  <c r="E20"/>
  <c r="G20" s="1"/>
  <c r="E19"/>
  <c r="G19" s="1"/>
  <c r="E18"/>
  <c r="C12"/>
  <c r="H41" s="1"/>
  <c r="I44" i="10"/>
  <c r="C25"/>
  <c r="C38"/>
  <c r="E38" s="1"/>
  <c r="E25"/>
  <c r="I46"/>
  <c r="D32"/>
  <c r="C28"/>
  <c r="G28" s="1"/>
  <c r="E24"/>
  <c r="G24" s="1"/>
  <c r="E23"/>
  <c r="I36" s="1"/>
  <c r="E22"/>
  <c r="G22" s="1"/>
  <c r="E21"/>
  <c r="G21" s="1"/>
  <c r="E20"/>
  <c r="G20" s="1"/>
  <c r="E19"/>
  <c r="C13"/>
  <c r="H41" s="1"/>
  <c r="C28" i="9"/>
  <c r="I46"/>
  <c r="E38"/>
  <c r="I38" s="1"/>
  <c r="E32"/>
  <c r="I32" s="1"/>
  <c r="D32"/>
  <c r="H32" s="1"/>
  <c r="G28"/>
  <c r="G24"/>
  <c r="E24"/>
  <c r="G23"/>
  <c r="E23"/>
  <c r="I37" s="1"/>
  <c r="G22"/>
  <c r="E22"/>
  <c r="I36" s="1"/>
  <c r="G21"/>
  <c r="E21"/>
  <c r="G20"/>
  <c r="E20"/>
  <c r="G19"/>
  <c r="E19"/>
  <c r="E18"/>
  <c r="C12"/>
  <c r="H41" s="1"/>
  <c r="I46" i="8"/>
  <c r="E38"/>
  <c r="D32"/>
  <c r="C28"/>
  <c r="G28" s="1"/>
  <c r="E24"/>
  <c r="G24" s="1"/>
  <c r="E23"/>
  <c r="I37" s="1"/>
  <c r="E22"/>
  <c r="I36" s="1"/>
  <c r="E21"/>
  <c r="G21" s="1"/>
  <c r="E20"/>
  <c r="G20" s="1"/>
  <c r="E19"/>
  <c r="G19" s="1"/>
  <c r="E18"/>
  <c r="C12"/>
  <c r="H41" s="1"/>
  <c r="I46" i="7"/>
  <c r="E40"/>
  <c r="I39"/>
  <c r="D34"/>
  <c r="E34" s="1"/>
  <c r="G30"/>
  <c r="C30"/>
  <c r="G26"/>
  <c r="E26"/>
  <c r="G25"/>
  <c r="E25"/>
  <c r="E24"/>
  <c r="E23"/>
  <c r="G23" s="1"/>
  <c r="G22"/>
  <c r="E22"/>
  <c r="E21"/>
  <c r="G21" s="1"/>
  <c r="E20"/>
  <c r="C13"/>
  <c r="F27" i="20" l="1"/>
  <c r="E50" s="1"/>
  <c r="I36" i="14"/>
  <c r="G36"/>
  <c r="H37"/>
  <c r="F37"/>
  <c r="D38" s="1"/>
  <c r="E37"/>
  <c r="G22" i="13"/>
  <c r="G23"/>
  <c r="I38"/>
  <c r="H32"/>
  <c r="E32"/>
  <c r="I32" s="1"/>
  <c r="I41"/>
  <c r="D33"/>
  <c r="I38" i="10"/>
  <c r="I35"/>
  <c r="I37"/>
  <c r="G23"/>
  <c r="H32"/>
  <c r="G25"/>
  <c r="E32"/>
  <c r="I32" s="1"/>
  <c r="I41"/>
  <c r="D33"/>
  <c r="F33" s="1"/>
  <c r="I41" i="9"/>
  <c r="D33"/>
  <c r="G23" i="8"/>
  <c r="H32"/>
  <c r="I38"/>
  <c r="E32"/>
  <c r="I32" s="1"/>
  <c r="I41"/>
  <c r="G22"/>
  <c r="D33"/>
  <c r="I34" i="7"/>
  <c r="I40"/>
  <c r="H34"/>
  <c r="I43"/>
  <c r="G24"/>
  <c r="D35"/>
  <c r="I38"/>
  <c r="H43"/>
  <c r="G50" i="20" l="1"/>
  <c r="C50"/>
  <c r="H38" i="14"/>
  <c r="F38"/>
  <c r="D39" s="1"/>
  <c r="E38"/>
  <c r="I37"/>
  <c r="G37"/>
  <c r="H33" i="13"/>
  <c r="F33"/>
  <c r="D34" s="1"/>
  <c r="H33" i="10"/>
  <c r="D34"/>
  <c r="E33"/>
  <c r="G33" s="1"/>
  <c r="H33" i="9"/>
  <c r="F33"/>
  <c r="D34" s="1"/>
  <c r="E33"/>
  <c r="H33" i="8"/>
  <c r="F33"/>
  <c r="D34" s="1"/>
  <c r="E33"/>
  <c r="H35" i="7"/>
  <c r="F35"/>
  <c r="D36" s="1"/>
  <c r="E35"/>
  <c r="I38" i="14" l="1"/>
  <c r="G38"/>
  <c r="H39"/>
  <c r="F39"/>
  <c r="D40" s="1"/>
  <c r="E39"/>
  <c r="H34" i="13"/>
  <c r="F34"/>
  <c r="D35" s="1"/>
  <c r="I33"/>
  <c r="G33"/>
  <c r="H34" i="10"/>
  <c r="F34"/>
  <c r="D35" s="1"/>
  <c r="E34"/>
  <c r="I33"/>
  <c r="H34" i="9"/>
  <c r="F34"/>
  <c r="D35" s="1"/>
  <c r="E34"/>
  <c r="I33"/>
  <c r="G33"/>
  <c r="H34" i="8"/>
  <c r="F34"/>
  <c r="D35" s="1"/>
  <c r="E34"/>
  <c r="I33"/>
  <c r="G33"/>
  <c r="I35" i="7"/>
  <c r="G35"/>
  <c r="E36"/>
  <c r="H36"/>
  <c r="F36"/>
  <c r="D37" s="1"/>
  <c r="H40" i="14" l="1"/>
  <c r="F40"/>
  <c r="D41" s="1"/>
  <c r="E40"/>
  <c r="I39"/>
  <c r="G39"/>
  <c r="H35" i="13"/>
  <c r="F35"/>
  <c r="D36" s="1"/>
  <c r="I34"/>
  <c r="G34"/>
  <c r="F35" i="10"/>
  <c r="H35"/>
  <c r="I34"/>
  <c r="G34"/>
  <c r="G35" s="1"/>
  <c r="G36" s="1"/>
  <c r="G37" s="1"/>
  <c r="G38" s="1"/>
  <c r="D36"/>
  <c r="H35" i="9"/>
  <c r="F35"/>
  <c r="D36" s="1"/>
  <c r="E35"/>
  <c r="I34"/>
  <c r="G34"/>
  <c r="I34" i="8"/>
  <c r="G34"/>
  <c r="H35"/>
  <c r="F35"/>
  <c r="D36" s="1"/>
  <c r="E35"/>
  <c r="E37" i="7"/>
  <c r="H37"/>
  <c r="F37"/>
  <c r="D38" s="1"/>
  <c r="I36"/>
  <c r="G36"/>
  <c r="X16" i="2"/>
  <c r="W16"/>
  <c r="I40" i="14" l="1"/>
  <c r="G40"/>
  <c r="H41"/>
  <c r="F41"/>
  <c r="E41"/>
  <c r="H36" i="13"/>
  <c r="F36"/>
  <c r="D37" s="1"/>
  <c r="I35"/>
  <c r="I40" s="1"/>
  <c r="I42" s="1"/>
  <c r="I45" s="1"/>
  <c r="G35"/>
  <c r="G36" s="1"/>
  <c r="G37" s="1"/>
  <c r="G38" s="1"/>
  <c r="F36" i="10"/>
  <c r="H36"/>
  <c r="D37"/>
  <c r="I40"/>
  <c r="I42" s="1"/>
  <c r="H36" i="9"/>
  <c r="F36"/>
  <c r="D37" s="1"/>
  <c r="I35"/>
  <c r="I40" s="1"/>
  <c r="I42" s="1"/>
  <c r="G35"/>
  <c r="G36" s="1"/>
  <c r="G37" s="1"/>
  <c r="G38" s="1"/>
  <c r="H36" i="8"/>
  <c r="F36"/>
  <c r="D37" s="1"/>
  <c r="I35"/>
  <c r="I40" s="1"/>
  <c r="I42" s="1"/>
  <c r="I44" s="1"/>
  <c r="G35"/>
  <c r="G36" s="1"/>
  <c r="G37" s="1"/>
  <c r="G38" s="1"/>
  <c r="H38" i="7"/>
  <c r="F38"/>
  <c r="D39" s="1"/>
  <c r="I37"/>
  <c r="I42" s="1"/>
  <c r="I44" s="1"/>
  <c r="I47" s="1"/>
  <c r="G37"/>
  <c r="G38" s="1"/>
  <c r="G39" s="1"/>
  <c r="G40" s="1"/>
  <c r="X8" i="2"/>
  <c r="X9" s="1"/>
  <c r="W8"/>
  <c r="W9" s="1"/>
  <c r="S35"/>
  <c r="S33"/>
  <c r="R33"/>
  <c r="S22"/>
  <c r="S20"/>
  <c r="R18"/>
  <c r="R20" s="1"/>
  <c r="S9"/>
  <c r="R9"/>
  <c r="S7"/>
  <c r="R7"/>
  <c r="I6"/>
  <c r="J5" s="1"/>
  <c r="H45" i="14" l="1"/>
  <c r="H47" s="1"/>
  <c r="H52" s="1"/>
  <c r="I41"/>
  <c r="I45" s="1"/>
  <c r="I47" s="1"/>
  <c r="I52" s="1"/>
  <c r="G41"/>
  <c r="H37" i="13"/>
  <c r="F37"/>
  <c r="D38" s="1"/>
  <c r="F37" i="10"/>
  <c r="H37"/>
  <c r="D38"/>
  <c r="I47"/>
  <c r="H37" i="9"/>
  <c r="F37"/>
  <c r="D38" s="1"/>
  <c r="I44"/>
  <c r="I47"/>
  <c r="H37" i="8"/>
  <c r="F37"/>
  <c r="D38" s="1"/>
  <c r="I47"/>
  <c r="H39" i="7"/>
  <c r="F39"/>
  <c r="D40" s="1"/>
  <c r="T33" i="2"/>
  <c r="T7"/>
  <c r="T9"/>
  <c r="T20"/>
  <c r="R35"/>
  <c r="T35" s="1"/>
  <c r="T36" s="1"/>
  <c r="T38" s="1"/>
  <c r="J4"/>
  <c r="R22"/>
  <c r="T22" s="1"/>
  <c r="I48" i="14" l="1"/>
  <c r="H38" i="13"/>
  <c r="H40" s="1"/>
  <c r="H42" s="1"/>
  <c r="F38"/>
  <c r="F38" i="10"/>
  <c r="H38"/>
  <c r="H40" s="1"/>
  <c r="H42" s="1"/>
  <c r="H38" i="9"/>
  <c r="H40" s="1"/>
  <c r="H42" s="1"/>
  <c r="F38"/>
  <c r="H38" i="8"/>
  <c r="H40" s="1"/>
  <c r="H42" s="1"/>
  <c r="H44" s="1"/>
  <c r="F38"/>
  <c r="H40" i="7"/>
  <c r="H42" s="1"/>
  <c r="H44" s="1"/>
  <c r="F40"/>
  <c r="T23" i="2"/>
  <c r="T25" s="1"/>
  <c r="T10"/>
  <c r="T12" s="1"/>
  <c r="H45" i="13" l="1"/>
  <c r="I43"/>
  <c r="I43" i="10"/>
  <c r="H47"/>
  <c r="H47" i="9"/>
  <c r="I43"/>
  <c r="H47" i="8"/>
  <c r="I43"/>
  <c r="H47" i="7"/>
  <c r="I45"/>
  <c r="D16" i="17" l="1"/>
  <c r="F16" l="1"/>
  <c r="F18" s="1"/>
  <c r="F20" s="1"/>
  <c r="E16"/>
  <c r="D42" i="19" l="1"/>
  <c r="H42" l="1"/>
  <c r="F42"/>
  <c r="D43" s="1"/>
  <c r="F43" l="1"/>
  <c r="D44" s="1"/>
  <c r="H43"/>
  <c r="H44" l="1"/>
  <c r="F44"/>
  <c r="H45"/>
  <c r="H47" l="1"/>
  <c r="I48" s="1"/>
  <c r="H51"/>
  <c r="H53"/>
</calcChain>
</file>

<file path=xl/sharedStrings.xml><?xml version="1.0" encoding="utf-8"?>
<sst xmlns="http://schemas.openxmlformats.org/spreadsheetml/2006/main" count="771" uniqueCount="199">
  <si>
    <t>Аренда</t>
  </si>
  <si>
    <t>Энергозатраты</t>
  </si>
  <si>
    <t>Амортизация</t>
  </si>
  <si>
    <t>Реклама</t>
  </si>
  <si>
    <t>Транспорт</t>
  </si>
  <si>
    <t>Итого</t>
  </si>
  <si>
    <t>Доллары</t>
  </si>
  <si>
    <t>Продукт</t>
  </si>
  <si>
    <t>Цена</t>
  </si>
  <si>
    <t>TVC</t>
  </si>
  <si>
    <t>Спрос (прогноз)</t>
  </si>
  <si>
    <t>Ассортимент продаж</t>
  </si>
  <si>
    <t>Накопленное использование CCR, %</t>
  </si>
  <si>
    <t>Общий проход по продукту</t>
  </si>
  <si>
    <t>Общий проход</t>
  </si>
  <si>
    <t>Операционные затраты</t>
  </si>
  <si>
    <t>Чистая прибыль</t>
  </si>
  <si>
    <t>Инвестиции</t>
  </si>
  <si>
    <t>Женская</t>
  </si>
  <si>
    <t>Мужская</t>
  </si>
  <si>
    <t>Спрос в неделю, шт.</t>
  </si>
  <si>
    <t>Цена реализации, долл.</t>
  </si>
  <si>
    <t>Стоимость материи типа С1, долл.</t>
  </si>
  <si>
    <t>Стоимость материи типа С2, долл.</t>
  </si>
  <si>
    <t>Время раскроя, мин.</t>
  </si>
  <si>
    <t>Время пошива, мин.</t>
  </si>
  <si>
    <t>Общее время производства, мин.</t>
  </si>
  <si>
    <t>Станок</t>
  </si>
  <si>
    <t>Раскройный</t>
  </si>
  <si>
    <t>Швейный</t>
  </si>
  <si>
    <t>Общее необходимое время, мин</t>
  </si>
  <si>
    <t>Необходимое время /доступное время</t>
  </si>
  <si>
    <t>Время в неделю на мужские рубашки, мин</t>
  </si>
  <si>
    <t>Время в неделю на женские рубашки, мин</t>
  </si>
  <si>
    <t>Доступное время по каждому станку в неделю, мин</t>
  </si>
  <si>
    <t>Женская рубашка</t>
  </si>
  <si>
    <t>Мужская рубашка</t>
  </si>
  <si>
    <t>Лучший продукт</t>
  </si>
  <si>
    <t>105 долл.</t>
  </si>
  <si>
    <t>100 долл.</t>
  </si>
  <si>
    <t>Сырье</t>
  </si>
  <si>
    <t>45 долл.</t>
  </si>
  <si>
    <t>50 долл.</t>
  </si>
  <si>
    <t>Время производства</t>
  </si>
  <si>
    <t>17 мин.</t>
  </si>
  <si>
    <t>20 мин.</t>
  </si>
  <si>
    <t>Выручка, долл.</t>
  </si>
  <si>
    <t>Затраты на сырье, долл.</t>
  </si>
  <si>
    <t>Валовая маржа, долл.</t>
  </si>
  <si>
    <t>Операционные затраты, долл.</t>
  </si>
  <si>
    <t>Чистая прибыль, долл.</t>
  </si>
  <si>
    <t>Производственный план, шт.</t>
  </si>
  <si>
    <t>Цена за единицу продукции, долл.</t>
  </si>
  <si>
    <t>Женские</t>
  </si>
  <si>
    <t>Мужские</t>
  </si>
  <si>
    <t>Всего</t>
  </si>
  <si>
    <t>Стоимость материи на единицу продукции, долл.</t>
  </si>
  <si>
    <t>Таблица 1</t>
  </si>
  <si>
    <t>Таблица 2</t>
  </si>
  <si>
    <t>Таблица 3</t>
  </si>
  <si>
    <t>Таблица 4</t>
  </si>
  <si>
    <t>Таблица 5</t>
  </si>
  <si>
    <t>Таблица 6</t>
  </si>
  <si>
    <t>Q</t>
  </si>
  <si>
    <t>Цена (Р)</t>
  </si>
  <si>
    <t>Объем продаж в шт. (q)</t>
  </si>
  <si>
    <t>Таблица 7</t>
  </si>
  <si>
    <t>S</t>
  </si>
  <si>
    <t>Полностью переменный издержки (TVC)</t>
  </si>
  <si>
    <r>
      <t>Проход на изделие T</t>
    </r>
    <r>
      <rPr>
        <vertAlign val="subscript"/>
        <sz val="11"/>
        <color rgb="FF000000"/>
        <rFont val="Calibri"/>
        <family val="2"/>
        <charset val="204"/>
        <scheme val="minor"/>
      </rPr>
      <t>u</t>
    </r>
    <r>
      <rPr>
        <sz val="11"/>
        <color rgb="FF000000"/>
        <rFont val="Calibri"/>
        <family val="2"/>
        <charset val="204"/>
        <scheme val="minor"/>
      </rPr>
      <t xml:space="preserve"> = (P – TVC)</t>
    </r>
  </si>
  <si>
    <r>
      <t>Проход по продукту ТТ</t>
    </r>
    <r>
      <rPr>
        <vertAlign val="subscript"/>
        <sz val="11"/>
        <color rgb="FF000000"/>
        <rFont val="Calibri"/>
        <family val="2"/>
        <charset val="204"/>
        <scheme val="minor"/>
      </rPr>
      <t>р</t>
    </r>
    <r>
      <rPr>
        <sz val="11"/>
        <color rgb="FF000000"/>
        <rFont val="Calibri"/>
        <family val="2"/>
        <charset val="204"/>
        <scheme val="minor"/>
      </rPr>
      <t xml:space="preserve"> = T</t>
    </r>
    <r>
      <rPr>
        <vertAlign val="subscript"/>
        <sz val="11"/>
        <color rgb="FF000000"/>
        <rFont val="Calibri"/>
        <family val="2"/>
        <charset val="204"/>
        <scheme val="minor"/>
      </rPr>
      <t>u</t>
    </r>
    <r>
      <rPr>
        <sz val="11"/>
        <color rgb="FF000000"/>
        <rFont val="Calibri"/>
        <family val="2"/>
        <charset val="204"/>
        <scheme val="minor"/>
      </rPr>
      <t xml:space="preserve"> * q</t>
    </r>
  </si>
  <si>
    <t>Легкое</t>
  </si>
  <si>
    <t>Тяжелое</t>
  </si>
  <si>
    <t>Проход на единицу, долл.</t>
  </si>
  <si>
    <t>Проход / время CCR, долл./мин.</t>
  </si>
  <si>
    <t>Таблица 8</t>
  </si>
  <si>
    <t>Изделие</t>
  </si>
  <si>
    <t>Время обработки на участке-ограничении (CCR), мин.</t>
  </si>
  <si>
    <t>Таблица 9</t>
  </si>
  <si>
    <t>Статья затрат</t>
  </si>
  <si>
    <t>Заработная плата</t>
  </si>
  <si>
    <t>Проценты по кредитам</t>
  </si>
  <si>
    <t>Прочие</t>
  </si>
  <si>
    <t>Месяц______________</t>
  </si>
  <si>
    <t>База данных по продуктам; месяц______________</t>
  </si>
  <si>
    <t>A</t>
  </si>
  <si>
    <t>B</t>
  </si>
  <si>
    <t>C</t>
  </si>
  <si>
    <t>D (B - C)</t>
  </si>
  <si>
    <t>E</t>
  </si>
  <si>
    <t>F (D/E)</t>
  </si>
  <si>
    <t>Проход/время нa CCR</t>
  </si>
  <si>
    <r>
      <t>Проход на единицу (T</t>
    </r>
    <r>
      <rPr>
        <vertAlign val="subscript"/>
        <sz val="11"/>
        <color rgb="FF000000"/>
        <rFont val="Calibri"/>
        <family val="2"/>
        <charset val="204"/>
        <scheme val="minor"/>
      </rPr>
      <t>u</t>
    </r>
    <r>
      <rPr>
        <sz val="11"/>
        <color rgb="FF000000"/>
        <rFont val="Calibri"/>
        <family val="2"/>
        <charset val="204"/>
        <scheme val="minor"/>
      </rPr>
      <t>)</t>
    </r>
  </si>
  <si>
    <t>Время обработки нa CCR</t>
  </si>
  <si>
    <t>Lady</t>
  </si>
  <si>
    <t>Classic</t>
  </si>
  <si>
    <t>Goldstar</t>
  </si>
  <si>
    <t>Sportsman</t>
  </si>
  <si>
    <t>Yacht</t>
  </si>
  <si>
    <t>Kids</t>
  </si>
  <si>
    <t>Champion</t>
  </si>
  <si>
    <t>--</t>
  </si>
  <si>
    <t>G</t>
  </si>
  <si>
    <t>H</t>
  </si>
  <si>
    <t>I</t>
  </si>
  <si>
    <t>J</t>
  </si>
  <si>
    <t>K</t>
  </si>
  <si>
    <t>L</t>
  </si>
  <si>
    <t>Ассортимент, дающий максимальный проход</t>
  </si>
  <si>
    <t>Ассортимент, дающий максимальную прибыль / Ассортимент продаж; месяц______________________</t>
  </si>
  <si>
    <t xml:space="preserve">Мощность CCR = </t>
  </si>
  <si>
    <t xml:space="preserve">Спрос / мощность CCR = </t>
  </si>
  <si>
    <t>M</t>
  </si>
  <si>
    <t>N</t>
  </si>
  <si>
    <t>Потери чистой прибыли</t>
  </si>
  <si>
    <t>ROI (годовых)</t>
  </si>
  <si>
    <t>Таблица 10</t>
  </si>
  <si>
    <t>Таблица 11</t>
  </si>
  <si>
    <t>Таблица 12</t>
  </si>
  <si>
    <t>Изменение OE</t>
  </si>
  <si>
    <t>Дополнительные инвестиции</t>
  </si>
  <si>
    <t>Разница между анализируемым вариантом и базовым</t>
  </si>
  <si>
    <t>Таблица 13</t>
  </si>
  <si>
    <t>Таблица 14</t>
  </si>
  <si>
    <t>Проход/ время нa CCR</t>
  </si>
  <si>
    <t>Разница между анализируемым вариантом и отказом от производства Yacht</t>
  </si>
  <si>
    <t>Таблица 15</t>
  </si>
  <si>
    <t>Таблица 16</t>
  </si>
  <si>
    <t>Classicс на экспорт</t>
  </si>
  <si>
    <t>Sportsman на экспорт</t>
  </si>
  <si>
    <t>Разница между исходным (табл. 15) и экспортным вариантами</t>
  </si>
  <si>
    <t>Таблица 17</t>
  </si>
  <si>
    <t>Таблица 18</t>
  </si>
  <si>
    <t>Ресурс</t>
  </si>
  <si>
    <t>Общее необходимое время, мин.</t>
  </si>
  <si>
    <t>Необходимое время / доступное время</t>
  </si>
  <si>
    <t>D</t>
  </si>
  <si>
    <t>Время для производства R, мин.</t>
  </si>
  <si>
    <t>Время для производства S, мин.</t>
  </si>
  <si>
    <t>Доступное время</t>
  </si>
  <si>
    <t>Операция</t>
  </si>
  <si>
    <t>Стоимость, долл.</t>
  </si>
  <si>
    <t>Производство</t>
  </si>
  <si>
    <t>Проверка качества</t>
  </si>
  <si>
    <t>Отгрузка</t>
  </si>
  <si>
    <t>Таблица 19</t>
  </si>
  <si>
    <t>Стоимость операции</t>
  </si>
  <si>
    <t>Фактор затрат</t>
  </si>
  <si>
    <t>Количественный показатель фактора затрат</t>
  </si>
  <si>
    <t>Норма распределения</t>
  </si>
  <si>
    <t>Часы работы ресурсов</t>
  </si>
  <si>
    <t>Часы проверки</t>
  </si>
  <si>
    <t>Фунты</t>
  </si>
  <si>
    <t>Таблица 20</t>
  </si>
  <si>
    <t>R</t>
  </si>
  <si>
    <t>Таблица 21</t>
  </si>
  <si>
    <t>Стоимость производства на единицу</t>
  </si>
  <si>
    <t>Таблица 22</t>
  </si>
  <si>
    <t>Таблица 23</t>
  </si>
  <si>
    <t>Стоимость проверки на единицу</t>
  </si>
  <si>
    <t>Таблица 24</t>
  </si>
  <si>
    <t>Стоимость отгрузки на единицу</t>
  </si>
  <si>
    <t>Стоимость сырья</t>
  </si>
  <si>
    <t>Таблица 25</t>
  </si>
  <si>
    <t>Выручка</t>
  </si>
  <si>
    <t>Валовая прибыль</t>
  </si>
  <si>
    <t>Операционные расходы</t>
  </si>
  <si>
    <t>Таблица 26</t>
  </si>
  <si>
    <t>Объем производства, шт.</t>
  </si>
  <si>
    <t>Прибыль</t>
  </si>
  <si>
    <t>Цена продажи, долл/ед.</t>
  </si>
  <si>
    <t>Стоимость сырья, долл/ед.</t>
  </si>
  <si>
    <t>Таблица 27</t>
  </si>
  <si>
    <t>Таблица 28</t>
  </si>
  <si>
    <t>Время обработки на CCR (мин)</t>
  </si>
  <si>
    <t>Цена, долл.</t>
  </si>
  <si>
    <t>TVC, долл.</t>
  </si>
  <si>
    <r>
      <t>Проход на единицу (Т</t>
    </r>
    <r>
      <rPr>
        <vertAlign val="subscript"/>
        <sz val="11"/>
        <color rgb="FF000000"/>
        <rFont val="Calibri"/>
        <family val="2"/>
        <charset val="204"/>
        <scheme val="minor"/>
      </rPr>
      <t>u</t>
    </r>
    <r>
      <rPr>
        <sz val="11"/>
        <color rgb="FF000000"/>
        <rFont val="Calibri"/>
        <family val="2"/>
        <charset val="204"/>
        <scheme val="minor"/>
      </rPr>
      <t>), долл.</t>
    </r>
  </si>
  <si>
    <r>
      <t>Проход (Т</t>
    </r>
    <r>
      <rPr>
        <vertAlign val="subscript"/>
        <sz val="11"/>
        <color rgb="FF000000"/>
        <rFont val="Calibri"/>
        <family val="2"/>
        <charset val="204"/>
        <scheme val="minor"/>
      </rPr>
      <t>u</t>
    </r>
    <r>
      <rPr>
        <sz val="11"/>
        <color rgb="FF000000"/>
        <rFont val="Calibri"/>
        <family val="2"/>
        <charset val="204"/>
        <scheme val="minor"/>
      </rPr>
      <t>) на 1 мин CCR, долл/мин</t>
    </r>
  </si>
  <si>
    <t>Таблица 29</t>
  </si>
  <si>
    <t>Ассортимент, дающий максимальную прибыль; месяц______________________</t>
  </si>
  <si>
    <t>Таблица 30</t>
  </si>
  <si>
    <t>Таблица 31</t>
  </si>
  <si>
    <t>Blue</t>
  </si>
  <si>
    <t>Red</t>
  </si>
  <si>
    <t>Stars</t>
  </si>
  <si>
    <t>Таблица 32</t>
  </si>
  <si>
    <t>Разница между анализируемым вариантом и базовым (см. табл. 11)</t>
  </si>
  <si>
    <t>ROI предложения(годовых)</t>
  </si>
  <si>
    <t>Таблица 33</t>
  </si>
  <si>
    <t>Таблица 34</t>
  </si>
  <si>
    <t>ROI предложения (годовых)</t>
  </si>
  <si>
    <t>Ассортимент продаж; месяц______________________</t>
  </si>
  <si>
    <t>Таблица 35</t>
  </si>
  <si>
    <t>Первый ресурс</t>
  </si>
  <si>
    <t>Второй ресурс</t>
  </si>
  <si>
    <t>Результат (проход)</t>
  </si>
  <si>
    <t>Среднее значение</t>
  </si>
  <si>
    <t>Третий ресурс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</si>
</sst>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#,##0.000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vertAlign val="subscript"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9" fontId="0" fillId="3" borderId="1" xfId="1" applyFont="1" applyFill="1" applyBorder="1"/>
    <xf numFmtId="9" fontId="0" fillId="4" borderId="1" xfId="1" applyFont="1" applyFill="1" applyBorder="1"/>
    <xf numFmtId="0" fontId="0" fillId="0" borderId="0" xfId="0" applyFont="1"/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/>
    <xf numFmtId="0" fontId="0" fillId="0" borderId="1" xfId="0" applyFont="1" applyBorder="1"/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vertical="center" wrapText="1"/>
    </xf>
    <xf numFmtId="3" fontId="2" fillId="3" borderId="3" xfId="0" applyNumberFormat="1" applyFont="1" applyFill="1" applyBorder="1" applyAlignment="1">
      <alignment vertical="center" wrapText="1"/>
    </xf>
    <xf numFmtId="3" fontId="2" fillId="3" borderId="2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justify" wrapText="1"/>
    </xf>
    <xf numFmtId="164" fontId="2" fillId="3" borderId="1" xfId="0" applyNumberFormat="1" applyFont="1" applyFill="1" applyBorder="1" applyAlignment="1">
      <alignment vertical="center" wrapText="1"/>
    </xf>
    <xf numFmtId="4" fontId="0" fillId="0" borderId="0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vertical="center" wrapText="1"/>
    </xf>
    <xf numFmtId="4" fontId="0" fillId="0" borderId="0" xfId="0" applyNumberFormat="1"/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vertical="center" wrapText="1"/>
    </xf>
    <xf numFmtId="4" fontId="2" fillId="3" borderId="1" xfId="0" quotePrefix="1" applyNumberFormat="1" applyFont="1" applyFill="1" applyBorder="1" applyAlignment="1">
      <alignment horizontal="right" vertical="center" wrapText="1"/>
    </xf>
    <xf numFmtId="165" fontId="2" fillId="3" borderId="1" xfId="1" applyNumberFormat="1" applyFont="1" applyFill="1" applyBorder="1" applyAlignment="1">
      <alignment vertical="center" wrapText="1"/>
    </xf>
    <xf numFmtId="165" fontId="2" fillId="3" borderId="1" xfId="1" quotePrefix="1" applyNumberFormat="1" applyFont="1" applyFill="1" applyBorder="1" applyAlignment="1">
      <alignment horizontal="right" vertical="center" wrapText="1"/>
    </xf>
    <xf numFmtId="3" fontId="0" fillId="0" borderId="0" xfId="0" applyNumberFormat="1"/>
    <xf numFmtId="165" fontId="0" fillId="0" borderId="0" xfId="1" applyNumberFormat="1" applyFont="1"/>
    <xf numFmtId="0" fontId="0" fillId="0" borderId="0" xfId="0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vertical="top"/>
    </xf>
    <xf numFmtId="4" fontId="0" fillId="0" borderId="0" xfId="0" applyNumberForma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right" vertical="center" wrapText="1"/>
    </xf>
    <xf numFmtId="165" fontId="2" fillId="3" borderId="1" xfId="1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165" fontId="5" fillId="3" borderId="1" xfId="1" applyNumberFormat="1" applyFont="1" applyFill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left" vertical="center"/>
    </xf>
    <xf numFmtId="3" fontId="2" fillId="3" borderId="1" xfId="0" applyNumberFormat="1" applyFont="1" applyFill="1" applyBorder="1" applyAlignment="1">
      <alignment horizontal="left" vertical="center" wrapText="1"/>
    </xf>
    <xf numFmtId="3" fontId="5" fillId="3" borderId="1" xfId="0" applyNumberFormat="1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right" vertical="center"/>
    </xf>
    <xf numFmtId="164" fontId="2" fillId="3" borderId="1" xfId="0" applyNumberFormat="1" applyFont="1" applyFill="1" applyBorder="1" applyAlignment="1">
      <alignment horizontal="right" vertical="center" wrapText="1"/>
    </xf>
    <xf numFmtId="164" fontId="5" fillId="3" borderId="1" xfId="0" applyNumberFormat="1" applyFont="1" applyFill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horizontal="right" vertical="center"/>
    </xf>
    <xf numFmtId="4" fontId="2" fillId="3" borderId="1" xfId="0" applyNumberFormat="1" applyFont="1" applyFill="1" applyBorder="1" applyAlignment="1">
      <alignment horizontal="right" vertical="center" wrapText="1"/>
    </xf>
    <xf numFmtId="166" fontId="2" fillId="3" borderId="1" xfId="0" applyNumberFormat="1" applyFont="1" applyFill="1" applyBorder="1" applyAlignment="1">
      <alignment horizontal="right" vertical="center"/>
    </xf>
    <xf numFmtId="166" fontId="2" fillId="3" borderId="1" xfId="0" applyNumberFormat="1" applyFont="1" applyFill="1" applyBorder="1" applyAlignment="1">
      <alignment horizontal="right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165" fontId="0" fillId="0" borderId="0" xfId="1" applyNumberFormat="1" applyFont="1" applyAlignment="1">
      <alignment horizontal="left"/>
    </xf>
    <xf numFmtId="3" fontId="0" fillId="0" borderId="0" xfId="0" applyNumberFormat="1" applyAlignment="1">
      <alignment horizontal="left"/>
    </xf>
    <xf numFmtId="1" fontId="2" fillId="2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9" fontId="0" fillId="0" borderId="0" xfId="1" applyFont="1" applyBorder="1" applyAlignment="1">
      <alignment vertical="center"/>
    </xf>
    <xf numFmtId="3" fontId="2" fillId="4" borderId="1" xfId="0" applyNumberFormat="1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/>
    </xf>
    <xf numFmtId="1" fontId="2" fillId="5" borderId="1" xfId="0" applyNumberFormat="1" applyFont="1" applyFill="1" applyBorder="1" applyAlignment="1">
      <alignment vertical="center" wrapText="1"/>
    </xf>
    <xf numFmtId="4" fontId="2" fillId="5" borderId="1" xfId="0" applyNumberFormat="1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4" fontId="5" fillId="3" borderId="1" xfId="0" applyNumberFormat="1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77"/>
  <sheetViews>
    <sheetView showGridLines="0" topLeftCell="N1" workbookViewId="0">
      <selection activeCell="H20" sqref="H20"/>
    </sheetView>
  </sheetViews>
  <sheetFormatPr defaultRowHeight="15"/>
  <cols>
    <col min="1" max="1" width="4.28515625" style="3" customWidth="1"/>
    <col min="2" max="2" width="35" style="4" customWidth="1"/>
    <col min="3" max="3" width="9.5703125" style="3" customWidth="1"/>
    <col min="4" max="4" width="10.140625" style="3" customWidth="1"/>
    <col min="5" max="5" width="3.7109375" style="3" customWidth="1"/>
    <col min="6" max="6" width="12.140625" style="13" bestFit="1" customWidth="1"/>
    <col min="7" max="10" width="21.7109375" style="13" customWidth="1"/>
    <col min="11" max="11" width="3.7109375" style="3" customWidth="1"/>
    <col min="12" max="12" width="22" style="13" customWidth="1"/>
    <col min="13" max="15" width="18.7109375" style="13" customWidth="1"/>
    <col min="16" max="16" width="3.7109375" style="3" customWidth="1"/>
    <col min="17" max="17" width="46.85546875" style="13" customWidth="1"/>
    <col min="18" max="20" width="13.7109375" style="13" customWidth="1"/>
    <col min="21" max="21" width="3.7109375" style="3" customWidth="1"/>
    <col min="22" max="22" width="40.5703125" style="3" customWidth="1"/>
    <col min="23" max="24" width="9.140625" style="3"/>
    <col min="25" max="25" width="3.7109375" style="3" customWidth="1"/>
    <col min="26" max="16384" width="9.140625" style="3"/>
  </cols>
  <sheetData>
    <row r="1" spans="2:24">
      <c r="B1" s="2" t="s">
        <v>57</v>
      </c>
      <c r="F1" s="2" t="s">
        <v>58</v>
      </c>
      <c r="L1" t="s">
        <v>59</v>
      </c>
      <c r="Q1" t="s">
        <v>60</v>
      </c>
      <c r="V1" t="s">
        <v>66</v>
      </c>
    </row>
    <row r="2" spans="2:24">
      <c r="L2" s="3"/>
      <c r="M2" s="3"/>
      <c r="N2" s="3"/>
      <c r="O2" s="3"/>
      <c r="Q2" s="3"/>
      <c r="R2" s="3"/>
      <c r="S2" s="3"/>
      <c r="T2" s="3"/>
    </row>
    <row r="3" spans="2:24" ht="45">
      <c r="B3" s="3"/>
      <c r="F3" s="14" t="s">
        <v>27</v>
      </c>
      <c r="G3" s="14" t="s">
        <v>33</v>
      </c>
      <c r="H3" s="14" t="s">
        <v>32</v>
      </c>
      <c r="I3" s="14" t="s">
        <v>30</v>
      </c>
      <c r="J3" s="14" t="s">
        <v>31</v>
      </c>
      <c r="L3" s="3"/>
      <c r="M3" s="3"/>
      <c r="N3" s="3"/>
      <c r="O3" s="3"/>
      <c r="Q3" s="3"/>
      <c r="R3" s="3"/>
      <c r="S3" s="3"/>
      <c r="T3" s="3"/>
    </row>
    <row r="4" spans="2:24">
      <c r="B4" s="6"/>
      <c r="C4" s="7" t="s">
        <v>18</v>
      </c>
      <c r="D4" s="8" t="s">
        <v>19</v>
      </c>
      <c r="F4" s="15" t="s">
        <v>28</v>
      </c>
      <c r="G4" s="15">
        <v>240</v>
      </c>
      <c r="H4" s="15">
        <v>1200</v>
      </c>
      <c r="I4" s="15">
        <v>1440</v>
      </c>
      <c r="J4" s="11">
        <f>I4/$I$6</f>
        <v>0.6</v>
      </c>
      <c r="L4" s="17"/>
      <c r="M4" s="7" t="s">
        <v>35</v>
      </c>
      <c r="N4" s="7" t="s">
        <v>36</v>
      </c>
      <c r="O4" s="7" t="s">
        <v>37</v>
      </c>
      <c r="Q4" s="8"/>
      <c r="R4" s="7" t="s">
        <v>53</v>
      </c>
      <c r="S4" s="7" t="s">
        <v>54</v>
      </c>
      <c r="T4" s="7" t="s">
        <v>55</v>
      </c>
      <c r="V4" s="8"/>
      <c r="W4" s="7" t="s">
        <v>67</v>
      </c>
      <c r="X4" s="7" t="s">
        <v>63</v>
      </c>
    </row>
    <row r="5" spans="2:24">
      <c r="B5" s="9" t="s">
        <v>20</v>
      </c>
      <c r="C5" s="10">
        <v>120</v>
      </c>
      <c r="D5" s="10">
        <v>120</v>
      </c>
      <c r="F5" s="15" t="s">
        <v>29</v>
      </c>
      <c r="G5" s="15">
        <v>1800</v>
      </c>
      <c r="H5" s="15">
        <v>1200</v>
      </c>
      <c r="I5" s="15">
        <v>3000</v>
      </c>
      <c r="J5" s="12">
        <f>I5/$I$6</f>
        <v>1.25</v>
      </c>
      <c r="L5" s="18" t="s">
        <v>8</v>
      </c>
      <c r="M5" s="10" t="s">
        <v>38</v>
      </c>
      <c r="N5" s="10" t="s">
        <v>39</v>
      </c>
      <c r="O5" s="10" t="s">
        <v>18</v>
      </c>
      <c r="Q5" s="19" t="s">
        <v>51</v>
      </c>
      <c r="R5" s="20">
        <v>120</v>
      </c>
      <c r="S5" s="20">
        <v>60</v>
      </c>
      <c r="T5" s="20"/>
      <c r="V5" s="19" t="s">
        <v>64</v>
      </c>
      <c r="W5" s="20">
        <v>90</v>
      </c>
      <c r="X5" s="20">
        <v>100</v>
      </c>
    </row>
    <row r="6" spans="2:24">
      <c r="B6" s="9" t="s">
        <v>21</v>
      </c>
      <c r="C6" s="10">
        <v>105</v>
      </c>
      <c r="D6" s="10">
        <v>100</v>
      </c>
      <c r="F6" s="16" t="s">
        <v>34</v>
      </c>
      <c r="G6" s="16"/>
      <c r="H6" s="16"/>
      <c r="I6" s="16">
        <f>40*60</f>
        <v>2400</v>
      </c>
      <c r="J6" s="16"/>
      <c r="L6" s="18" t="s">
        <v>40</v>
      </c>
      <c r="M6" s="10" t="s">
        <v>41</v>
      </c>
      <c r="N6" s="10" t="s">
        <v>42</v>
      </c>
      <c r="O6" s="10" t="s">
        <v>18</v>
      </c>
      <c r="Q6" s="19" t="s">
        <v>52</v>
      </c>
      <c r="R6" s="20">
        <v>105</v>
      </c>
      <c r="S6" s="20">
        <v>100</v>
      </c>
      <c r="T6" s="20"/>
      <c r="V6" s="19" t="s">
        <v>68</v>
      </c>
      <c r="W6" s="20">
        <v>45</v>
      </c>
      <c r="X6" s="20">
        <v>40</v>
      </c>
    </row>
    <row r="7" spans="2:24">
      <c r="B7" s="9" t="s">
        <v>22</v>
      </c>
      <c r="C7" s="10">
        <v>45</v>
      </c>
      <c r="D7" s="10"/>
      <c r="L7" s="18" t="s">
        <v>43</v>
      </c>
      <c r="M7" s="10" t="s">
        <v>44</v>
      </c>
      <c r="N7" s="10" t="s">
        <v>45</v>
      </c>
      <c r="O7" s="10" t="s">
        <v>18</v>
      </c>
      <c r="Q7" s="19" t="s">
        <v>46</v>
      </c>
      <c r="R7" s="20">
        <f>R5*R6</f>
        <v>12600</v>
      </c>
      <c r="S7" s="20">
        <f>S5*S6</f>
        <v>6000</v>
      </c>
      <c r="T7" s="20">
        <f>SUM(R7:S7)</f>
        <v>18600</v>
      </c>
      <c r="V7" s="19" t="s">
        <v>65</v>
      </c>
      <c r="W7" s="20">
        <v>100</v>
      </c>
      <c r="X7" s="20">
        <v>50</v>
      </c>
    </row>
    <row r="8" spans="2:24" ht="18">
      <c r="B8" s="9" t="s">
        <v>23</v>
      </c>
      <c r="C8" s="10"/>
      <c r="D8" s="10">
        <v>50</v>
      </c>
      <c r="Q8" s="9" t="s">
        <v>56</v>
      </c>
      <c r="R8" s="20">
        <v>45</v>
      </c>
      <c r="S8" s="20">
        <v>50</v>
      </c>
      <c r="T8" s="20"/>
      <c r="V8" s="9" t="s">
        <v>69</v>
      </c>
      <c r="W8" s="20">
        <f>W5-W6</f>
        <v>45</v>
      </c>
      <c r="X8" s="20">
        <f>X5-X6</f>
        <v>60</v>
      </c>
    </row>
    <row r="9" spans="2:24" ht="18">
      <c r="B9" s="9" t="s">
        <v>24</v>
      </c>
      <c r="C9" s="10">
        <v>2</v>
      </c>
      <c r="D9" s="10">
        <v>10</v>
      </c>
      <c r="Q9" s="19" t="s">
        <v>47</v>
      </c>
      <c r="R9" s="20">
        <f>R8*R5</f>
        <v>5400</v>
      </c>
      <c r="S9" s="20">
        <f>S8*S5</f>
        <v>3000</v>
      </c>
      <c r="T9" s="20">
        <f>SUM(R9:S9)</f>
        <v>8400</v>
      </c>
      <c r="V9" s="19" t="s">
        <v>70</v>
      </c>
      <c r="W9" s="20">
        <f>W7*W8</f>
        <v>4500</v>
      </c>
      <c r="X9" s="20">
        <f>X7*X8</f>
        <v>3000</v>
      </c>
    </row>
    <row r="10" spans="2:24">
      <c r="B10" s="9" t="s">
        <v>25</v>
      </c>
      <c r="C10" s="10">
        <v>15</v>
      </c>
      <c r="D10" s="10">
        <v>10</v>
      </c>
      <c r="Q10" s="19" t="s">
        <v>48</v>
      </c>
      <c r="R10" s="20"/>
      <c r="S10" s="20"/>
      <c r="T10" s="20">
        <f>T7-T9</f>
        <v>10200</v>
      </c>
      <c r="V10" s="23"/>
      <c r="W10"/>
      <c r="X10"/>
    </row>
    <row r="11" spans="2:24" ht="15.75" thickBot="1">
      <c r="B11" s="9" t="s">
        <v>26</v>
      </c>
      <c r="C11" s="10">
        <v>17</v>
      </c>
      <c r="D11" s="10">
        <v>20</v>
      </c>
      <c r="Q11" s="19" t="s">
        <v>49</v>
      </c>
      <c r="R11" s="20"/>
      <c r="S11" s="20"/>
      <c r="T11" s="21">
        <v>-10500</v>
      </c>
      <c r="V11" t="s">
        <v>75</v>
      </c>
    </row>
    <row r="12" spans="2:24">
      <c r="B12" s="3"/>
      <c r="Q12" s="19" t="s">
        <v>50</v>
      </c>
      <c r="R12" s="20"/>
      <c r="S12" s="20"/>
      <c r="T12" s="22">
        <f>T10+T11</f>
        <v>-300</v>
      </c>
    </row>
    <row r="13" spans="2:24">
      <c r="V13" s="17" t="s">
        <v>76</v>
      </c>
      <c r="W13" s="7" t="s">
        <v>71</v>
      </c>
      <c r="X13" s="7" t="s">
        <v>72</v>
      </c>
    </row>
    <row r="14" spans="2:24">
      <c r="V14" s="19" t="s">
        <v>73</v>
      </c>
      <c r="W14" s="20">
        <v>15</v>
      </c>
      <c r="X14" s="20">
        <v>50</v>
      </c>
    </row>
    <row r="15" spans="2:24" ht="30">
      <c r="Q15" s="5" t="s">
        <v>61</v>
      </c>
      <c r="V15" s="19" t="s">
        <v>77</v>
      </c>
      <c r="W15" s="20">
        <v>2</v>
      </c>
      <c r="X15" s="20">
        <v>10</v>
      </c>
    </row>
    <row r="16" spans="2:24">
      <c r="V16" s="19" t="s">
        <v>74</v>
      </c>
      <c r="W16" s="24">
        <f>W14/W15</f>
        <v>7.5</v>
      </c>
      <c r="X16" s="24">
        <f>X14/X15</f>
        <v>5</v>
      </c>
    </row>
    <row r="17" spans="17:20">
      <c r="Q17" s="8"/>
      <c r="R17" s="7" t="s">
        <v>53</v>
      </c>
      <c r="S17" s="7" t="s">
        <v>54</v>
      </c>
      <c r="T17" s="7" t="s">
        <v>55</v>
      </c>
    </row>
    <row r="18" spans="17:20">
      <c r="Q18" s="19" t="s">
        <v>51</v>
      </c>
      <c r="R18" s="20">
        <f>1200/15</f>
        <v>80</v>
      </c>
      <c r="S18" s="20">
        <v>120</v>
      </c>
      <c r="T18" s="20"/>
    </row>
    <row r="19" spans="17:20">
      <c r="Q19" s="19" t="s">
        <v>52</v>
      </c>
      <c r="R19" s="20">
        <v>105</v>
      </c>
      <c r="S19" s="20">
        <v>100</v>
      </c>
      <c r="T19" s="20"/>
    </row>
    <row r="20" spans="17:20">
      <c r="Q20" s="19" t="s">
        <v>46</v>
      </c>
      <c r="R20" s="20">
        <f>R18*R19</f>
        <v>8400</v>
      </c>
      <c r="S20" s="20">
        <f>S18*S19</f>
        <v>12000</v>
      </c>
      <c r="T20" s="20">
        <f>SUM(R20:S20)</f>
        <v>20400</v>
      </c>
    </row>
    <row r="21" spans="17:20">
      <c r="Q21" s="9" t="s">
        <v>56</v>
      </c>
      <c r="R21" s="20">
        <v>45</v>
      </c>
      <c r="S21" s="20">
        <v>50</v>
      </c>
      <c r="T21" s="20"/>
    </row>
    <row r="22" spans="17:20">
      <c r="Q22" s="19" t="s">
        <v>47</v>
      </c>
      <c r="R22" s="20">
        <f>R21*R18</f>
        <v>3600</v>
      </c>
      <c r="S22" s="20">
        <f>S21*S18</f>
        <v>6000</v>
      </c>
      <c r="T22" s="20">
        <f>SUM(R22:S22)</f>
        <v>9600</v>
      </c>
    </row>
    <row r="23" spans="17:20">
      <c r="Q23" s="19" t="s">
        <v>48</v>
      </c>
      <c r="R23" s="20"/>
      <c r="S23" s="20"/>
      <c r="T23" s="20">
        <f>T20-T22</f>
        <v>10800</v>
      </c>
    </row>
    <row r="24" spans="17:20" ht="15.75" thickBot="1">
      <c r="Q24" s="19" t="s">
        <v>49</v>
      </c>
      <c r="R24" s="20"/>
      <c r="S24" s="20"/>
      <c r="T24" s="21">
        <v>-10500</v>
      </c>
    </row>
    <row r="25" spans="17:20">
      <c r="Q25" s="19" t="s">
        <v>50</v>
      </c>
      <c r="R25" s="20"/>
      <c r="S25" s="20"/>
      <c r="T25" s="22">
        <f>T23+T24</f>
        <v>300</v>
      </c>
    </row>
    <row r="28" spans="17:20">
      <c r="Q28" s="5" t="s">
        <v>62</v>
      </c>
    </row>
    <row r="30" spans="17:20">
      <c r="Q30" s="8"/>
      <c r="R30" s="7" t="s">
        <v>53</v>
      </c>
      <c r="S30" s="7" t="s">
        <v>54</v>
      </c>
      <c r="T30" s="7" t="s">
        <v>55</v>
      </c>
    </row>
    <row r="31" spans="17:20" ht="6" customHeight="1">
      <c r="Q31" s="19" t="s">
        <v>51</v>
      </c>
      <c r="R31" s="20">
        <v>85</v>
      </c>
      <c r="S31" s="20">
        <v>120</v>
      </c>
      <c r="T31" s="20"/>
    </row>
    <row r="32" spans="17:20">
      <c r="Q32" s="19" t="s">
        <v>52</v>
      </c>
      <c r="R32" s="20">
        <v>105</v>
      </c>
      <c r="S32" s="20">
        <v>100</v>
      </c>
      <c r="T32" s="20"/>
    </row>
    <row r="33" spans="17:20" ht="32.25" customHeight="1">
      <c r="Q33" s="19" t="s">
        <v>46</v>
      </c>
      <c r="R33" s="20">
        <f>R31*R32</f>
        <v>8925</v>
      </c>
      <c r="S33" s="20">
        <f>S31*S32</f>
        <v>12000</v>
      </c>
      <c r="T33" s="20">
        <f>SUM(R33:S33)</f>
        <v>20925</v>
      </c>
    </row>
    <row r="34" spans="17:20">
      <c r="Q34" s="9" t="s">
        <v>56</v>
      </c>
      <c r="R34" s="20">
        <v>45</v>
      </c>
      <c r="S34" s="20">
        <v>50</v>
      </c>
      <c r="T34" s="20"/>
    </row>
    <row r="35" spans="17:20">
      <c r="Q35" s="19" t="s">
        <v>47</v>
      </c>
      <c r="R35" s="20">
        <f>R34*R31</f>
        <v>3825</v>
      </c>
      <c r="S35" s="20">
        <f>S34*S31</f>
        <v>6000</v>
      </c>
      <c r="T35" s="20">
        <f>SUM(R35:S35)</f>
        <v>9825</v>
      </c>
    </row>
    <row r="36" spans="17:20">
      <c r="Q36" s="19" t="s">
        <v>48</v>
      </c>
      <c r="R36" s="20"/>
      <c r="S36" s="20"/>
      <c r="T36" s="20">
        <f>T33-T35</f>
        <v>11100</v>
      </c>
    </row>
    <row r="37" spans="17:20" ht="15.75" thickBot="1">
      <c r="Q37" s="19" t="s">
        <v>49</v>
      </c>
      <c r="R37" s="20"/>
      <c r="S37" s="20"/>
      <c r="T37" s="21">
        <v>-10500</v>
      </c>
    </row>
    <row r="38" spans="17:20">
      <c r="Q38" s="19" t="s">
        <v>50</v>
      </c>
      <c r="R38" s="20"/>
      <c r="S38" s="20"/>
      <c r="T38" s="22">
        <f>T36+T37</f>
        <v>600</v>
      </c>
    </row>
    <row r="41" spans="17:20" ht="4.5" customHeight="1"/>
    <row r="54" ht="45" customHeight="1"/>
    <row r="77" ht="45" customHeight="1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53"/>
  <sheetViews>
    <sheetView showGridLines="0" workbookViewId="0">
      <selection activeCell="L47" sqref="L47"/>
    </sheetView>
  </sheetViews>
  <sheetFormatPr defaultRowHeight="15"/>
  <cols>
    <col min="1" max="1" width="3.7109375" style="3" customWidth="1"/>
    <col min="2" max="2" width="23.85546875" style="3" customWidth="1"/>
    <col min="3" max="3" width="10.140625" style="25" customWidth="1"/>
    <col min="4" max="4" width="22" style="3" customWidth="1"/>
    <col min="5" max="5" width="13.28515625" style="3" customWidth="1"/>
    <col min="6" max="6" width="11.140625" style="3" customWidth="1"/>
    <col min="7" max="7" width="11.28515625" style="3" customWidth="1"/>
    <col min="8" max="8" width="10.5703125" style="3" customWidth="1"/>
    <col min="9" max="9" width="12" style="3" customWidth="1"/>
    <col min="10" max="10" width="3.7109375" style="3" customWidth="1"/>
    <col min="11" max="16384" width="9.140625" style="3"/>
  </cols>
  <sheetData>
    <row r="1" spans="2:3">
      <c r="B1" s="28"/>
    </row>
    <row r="2" spans="2:3">
      <c r="B2" s="28"/>
    </row>
    <row r="3" spans="2:3" s="46" customFormat="1" ht="20.25" customHeight="1">
      <c r="B3" s="44" t="s">
        <v>15</v>
      </c>
      <c r="C3" s="45" t="s">
        <v>83</v>
      </c>
    </row>
    <row r="4" spans="2:3">
      <c r="B4" s="8" t="s">
        <v>79</v>
      </c>
      <c r="C4" s="26" t="s">
        <v>6</v>
      </c>
    </row>
    <row r="5" spans="2:3">
      <c r="B5" s="19" t="s">
        <v>80</v>
      </c>
      <c r="C5" s="27">
        <v>68523.03</v>
      </c>
    </row>
    <row r="6" spans="2:3">
      <c r="B6" s="19" t="s">
        <v>1</v>
      </c>
      <c r="C6" s="27">
        <v>2345.75</v>
      </c>
    </row>
    <row r="7" spans="2:3">
      <c r="B7" s="19" t="s">
        <v>0</v>
      </c>
      <c r="C7" s="27">
        <v>8935.67</v>
      </c>
    </row>
    <row r="8" spans="2:3">
      <c r="B8" s="9" t="s">
        <v>2</v>
      </c>
      <c r="C8" s="27">
        <v>7851.32</v>
      </c>
    </row>
    <row r="9" spans="2:3">
      <c r="B9" s="19" t="s">
        <v>81</v>
      </c>
      <c r="C9" s="27">
        <v>2978.73</v>
      </c>
    </row>
    <row r="10" spans="2:3">
      <c r="B10" s="19" t="s">
        <v>3</v>
      </c>
      <c r="C10" s="27">
        <v>6464.26</v>
      </c>
    </row>
    <row r="11" spans="2:3">
      <c r="B11" s="19" t="s">
        <v>4</v>
      </c>
      <c r="C11" s="27">
        <v>4766.68</v>
      </c>
    </row>
    <row r="12" spans="2:3">
      <c r="B12" s="9" t="s">
        <v>82</v>
      </c>
      <c r="C12" s="27">
        <v>10469.56</v>
      </c>
    </row>
    <row r="13" spans="2:3">
      <c r="B13" s="19" t="s">
        <v>5</v>
      </c>
      <c r="C13" s="27">
        <f>SUM(C5:C12)</f>
        <v>112334.99999999997</v>
      </c>
    </row>
    <row r="14" spans="2:3">
      <c r="C14" s="3"/>
    </row>
    <row r="15" spans="2:3">
      <c r="B15" s="28" t="s">
        <v>186</v>
      </c>
      <c r="C15" s="28"/>
    </row>
    <row r="16" spans="2:3" ht="6.75" customHeight="1">
      <c r="B16" s="28"/>
      <c r="C16" s="28"/>
    </row>
    <row r="17" spans="2:9">
      <c r="B17" t="s">
        <v>84</v>
      </c>
      <c r="C17" s="28"/>
    </row>
    <row r="18" spans="2:9" ht="6" customHeight="1">
      <c r="B18"/>
      <c r="C18" s="28"/>
    </row>
    <row r="19" spans="2:9">
      <c r="B19" s="7" t="s">
        <v>85</v>
      </c>
      <c r="C19" s="26" t="s">
        <v>86</v>
      </c>
      <c r="D19" s="7" t="s">
        <v>87</v>
      </c>
      <c r="E19" s="26" t="s">
        <v>88</v>
      </c>
      <c r="F19" s="7" t="s">
        <v>89</v>
      </c>
      <c r="G19" s="26" t="s">
        <v>90</v>
      </c>
    </row>
    <row r="20" spans="2:9" s="48" customFormat="1" ht="45">
      <c r="B20" s="10" t="s">
        <v>7</v>
      </c>
      <c r="C20" s="31" t="s">
        <v>8</v>
      </c>
      <c r="D20" s="10" t="s">
        <v>9</v>
      </c>
      <c r="E20" s="31" t="s">
        <v>92</v>
      </c>
      <c r="F20" s="10" t="s">
        <v>93</v>
      </c>
      <c r="G20" s="31" t="s">
        <v>124</v>
      </c>
    </row>
    <row r="21" spans="2:9">
      <c r="B21" s="19" t="s">
        <v>94</v>
      </c>
      <c r="C21" s="34">
        <v>68</v>
      </c>
      <c r="D21" s="34">
        <v>42</v>
      </c>
      <c r="E21" s="34">
        <f t="shared" ref="E21:E28" si="0">C21-D21</f>
        <v>26</v>
      </c>
      <c r="F21" s="34">
        <v>0</v>
      </c>
      <c r="G21" s="35" t="s">
        <v>101</v>
      </c>
    </row>
    <row r="22" spans="2:9">
      <c r="B22" s="19" t="s">
        <v>95</v>
      </c>
      <c r="C22" s="34">
        <v>120</v>
      </c>
      <c r="D22" s="34">
        <v>35</v>
      </c>
      <c r="E22" s="34">
        <f t="shared" si="0"/>
        <v>85</v>
      </c>
      <c r="F22" s="34">
        <v>5</v>
      </c>
      <c r="G22" s="27">
        <f t="shared" ref="G22:G28" si="1">E22/F22</f>
        <v>17</v>
      </c>
    </row>
    <row r="23" spans="2:9">
      <c r="B23" s="9" t="s">
        <v>96</v>
      </c>
      <c r="C23" s="34">
        <v>343</v>
      </c>
      <c r="D23" s="34">
        <v>134</v>
      </c>
      <c r="E23" s="34">
        <f t="shared" si="0"/>
        <v>209</v>
      </c>
      <c r="F23" s="34">
        <v>15</v>
      </c>
      <c r="G23" s="27">
        <f t="shared" si="1"/>
        <v>13.933333333333334</v>
      </c>
    </row>
    <row r="24" spans="2:9">
      <c r="B24" s="19" t="s">
        <v>97</v>
      </c>
      <c r="C24" s="34">
        <v>254</v>
      </c>
      <c r="D24" s="34">
        <v>71</v>
      </c>
      <c r="E24" s="34">
        <f t="shared" si="0"/>
        <v>183</v>
      </c>
      <c r="F24" s="34">
        <v>15</v>
      </c>
      <c r="G24" s="27">
        <f t="shared" si="1"/>
        <v>12.2</v>
      </c>
    </row>
    <row r="25" spans="2:9">
      <c r="B25" s="19" t="s">
        <v>98</v>
      </c>
      <c r="C25" s="34">
        <v>147</v>
      </c>
      <c r="D25" s="34">
        <v>56</v>
      </c>
      <c r="E25" s="34">
        <f>C25-D25</f>
        <v>91</v>
      </c>
      <c r="F25" s="34">
        <v>8</v>
      </c>
      <c r="G25" s="27">
        <f>E25/F25</f>
        <v>11.375</v>
      </c>
    </row>
    <row r="26" spans="2:9">
      <c r="B26" s="8" t="s">
        <v>185</v>
      </c>
      <c r="C26" s="71">
        <v>145</v>
      </c>
      <c r="D26" s="71">
        <v>45</v>
      </c>
      <c r="E26" s="71">
        <f t="shared" si="0"/>
        <v>100</v>
      </c>
      <c r="F26" s="71">
        <v>9</v>
      </c>
      <c r="G26" s="72">
        <f t="shared" si="1"/>
        <v>11.111111111111111</v>
      </c>
    </row>
    <row r="27" spans="2:9">
      <c r="B27" s="19" t="s">
        <v>99</v>
      </c>
      <c r="C27" s="34">
        <v>35</v>
      </c>
      <c r="D27" s="34">
        <v>4</v>
      </c>
      <c r="E27" s="34">
        <f t="shared" si="0"/>
        <v>31</v>
      </c>
      <c r="F27" s="34">
        <v>3</v>
      </c>
      <c r="G27" s="27">
        <f t="shared" si="1"/>
        <v>10.333333333333334</v>
      </c>
    </row>
    <row r="28" spans="2:9">
      <c r="B28" s="9" t="s">
        <v>100</v>
      </c>
      <c r="C28" s="34">
        <v>97</v>
      </c>
      <c r="D28" s="34">
        <v>42</v>
      </c>
      <c r="E28" s="34">
        <f t="shared" si="0"/>
        <v>55</v>
      </c>
      <c r="F28" s="34">
        <v>7</v>
      </c>
      <c r="G28" s="27">
        <f t="shared" si="1"/>
        <v>7.8571428571428568</v>
      </c>
    </row>
    <row r="29" spans="2:9">
      <c r="C29" s="3"/>
    </row>
    <row r="30" spans="2:9">
      <c r="B30" s="28" t="s">
        <v>189</v>
      </c>
    </row>
    <row r="31" spans="2:9" ht="9" customHeight="1">
      <c r="B31" s="28"/>
    </row>
    <row r="32" spans="2:9">
      <c r="B32" t="s">
        <v>109</v>
      </c>
      <c r="C32"/>
      <c r="D32"/>
      <c r="E32"/>
      <c r="F32"/>
      <c r="G32"/>
      <c r="H32"/>
      <c r="I32"/>
    </row>
    <row r="33" spans="2:9">
      <c r="B33" t="s">
        <v>110</v>
      </c>
      <c r="C33" s="38">
        <f>22*8*60*0.95</f>
        <v>10032</v>
      </c>
      <c r="E33" t="s">
        <v>111</v>
      </c>
      <c r="F33"/>
      <c r="G33" s="39">
        <f>SUMPRODUCT(F21:F28,C37:C44)/C33</f>
        <v>1.2230861244019138</v>
      </c>
      <c r="H33"/>
      <c r="I33"/>
    </row>
    <row r="34" spans="2:9" ht="6.75" customHeight="1">
      <c r="B34"/>
      <c r="C34"/>
      <c r="D34"/>
      <c r="E34"/>
      <c r="F34"/>
      <c r="G34"/>
      <c r="H34"/>
      <c r="I34"/>
    </row>
    <row r="35" spans="2:9">
      <c r="B35" s="7" t="s">
        <v>102</v>
      </c>
      <c r="C35" s="26" t="s">
        <v>103</v>
      </c>
      <c r="D35" s="7" t="s">
        <v>104</v>
      </c>
      <c r="E35" s="26" t="s">
        <v>105</v>
      </c>
      <c r="F35" s="7" t="s">
        <v>106</v>
      </c>
      <c r="G35" s="7" t="s">
        <v>107</v>
      </c>
      <c r="H35" s="7" t="s">
        <v>112</v>
      </c>
      <c r="I35" s="26" t="s">
        <v>113</v>
      </c>
    </row>
    <row r="36" spans="2:9" ht="45">
      <c r="B36" s="10" t="s">
        <v>7</v>
      </c>
      <c r="C36" s="31" t="s">
        <v>10</v>
      </c>
      <c r="D36" s="10" t="s">
        <v>108</v>
      </c>
      <c r="E36" s="31" t="s">
        <v>11</v>
      </c>
      <c r="F36" s="79" t="s">
        <v>12</v>
      </c>
      <c r="G36" s="80"/>
      <c r="H36" s="79" t="s">
        <v>13</v>
      </c>
      <c r="I36" s="80"/>
    </row>
    <row r="37" spans="2:9">
      <c r="B37" s="19" t="s">
        <v>94</v>
      </c>
      <c r="C37" s="34">
        <v>660</v>
      </c>
      <c r="D37" s="34">
        <f>IF(F21&gt;0,IF(F37&lt;1,MIN(C37,$C$33/F21),0),C37)</f>
        <v>660</v>
      </c>
      <c r="E37" s="34">
        <f>D37</f>
        <v>660</v>
      </c>
      <c r="F37" s="36">
        <v>0</v>
      </c>
      <c r="G37" s="37">
        <v>0</v>
      </c>
      <c r="H37" s="20">
        <f t="shared" ref="H37:I44" si="2">D37*$E21</f>
        <v>17160</v>
      </c>
      <c r="I37" s="20">
        <f t="shared" si="2"/>
        <v>17160</v>
      </c>
    </row>
    <row r="38" spans="2:9">
      <c r="B38" s="19" t="s">
        <v>95</v>
      </c>
      <c r="C38" s="34">
        <v>420</v>
      </c>
      <c r="D38" s="34">
        <f t="shared" ref="D38:D44" si="3">FLOOR(IF(F22&gt;0,IF(F37&lt;1,MIN(C38,$C$33*(1-F37)/F22),0),C38),1)</f>
        <v>420</v>
      </c>
      <c r="E38" s="34">
        <f t="shared" ref="E38:E39" si="4">D38</f>
        <v>420</v>
      </c>
      <c r="F38" s="36">
        <f t="shared" ref="F38:F44" si="5">D38*F22/$C$33+F37</f>
        <v>0.20933014354066987</v>
      </c>
      <c r="G38" s="36">
        <f t="shared" ref="G38:G44" si="6">E38*F22/$C$33+G37</f>
        <v>0.20933014354066987</v>
      </c>
      <c r="H38" s="20">
        <f t="shared" si="2"/>
        <v>35700</v>
      </c>
      <c r="I38" s="20">
        <f t="shared" si="2"/>
        <v>35700</v>
      </c>
    </row>
    <row r="39" spans="2:9">
      <c r="B39" s="9" t="s">
        <v>96</v>
      </c>
      <c r="C39" s="34">
        <v>110</v>
      </c>
      <c r="D39" s="34">
        <f t="shared" si="3"/>
        <v>110</v>
      </c>
      <c r="E39" s="34">
        <f t="shared" si="4"/>
        <v>110</v>
      </c>
      <c r="F39" s="36">
        <f t="shared" si="5"/>
        <v>0.37380382775119619</v>
      </c>
      <c r="G39" s="36">
        <f t="shared" si="6"/>
        <v>0.37380382775119619</v>
      </c>
      <c r="H39" s="20">
        <f t="shared" si="2"/>
        <v>22990</v>
      </c>
      <c r="I39" s="20">
        <f t="shared" si="2"/>
        <v>22990</v>
      </c>
    </row>
    <row r="40" spans="2:9">
      <c r="B40" s="19" t="s">
        <v>97</v>
      </c>
      <c r="C40" s="34">
        <v>250</v>
      </c>
      <c r="D40" s="34">
        <f t="shared" si="3"/>
        <v>250</v>
      </c>
      <c r="E40" s="34">
        <v>225</v>
      </c>
      <c r="F40" s="36">
        <f t="shared" si="5"/>
        <v>0.74760765550239239</v>
      </c>
      <c r="G40" s="36">
        <f t="shared" si="6"/>
        <v>0.71022727272727271</v>
      </c>
      <c r="H40" s="20">
        <f t="shared" si="2"/>
        <v>45750</v>
      </c>
      <c r="I40" s="20">
        <f t="shared" si="2"/>
        <v>41175</v>
      </c>
    </row>
    <row r="41" spans="2:9">
      <c r="B41" s="9" t="s">
        <v>98</v>
      </c>
      <c r="C41" s="34">
        <f>200</f>
        <v>200</v>
      </c>
      <c r="D41" s="34">
        <f t="shared" si="3"/>
        <v>200</v>
      </c>
      <c r="E41" s="34">
        <v>120</v>
      </c>
      <c r="F41" s="36">
        <f t="shared" si="5"/>
        <v>0.90709728867623607</v>
      </c>
      <c r="G41" s="36">
        <f t="shared" si="6"/>
        <v>0.80592105263157898</v>
      </c>
      <c r="H41" s="20">
        <f t="shared" si="2"/>
        <v>18200</v>
      </c>
      <c r="I41" s="20">
        <f t="shared" si="2"/>
        <v>10920</v>
      </c>
    </row>
    <row r="42" spans="2:9">
      <c r="B42" s="9" t="s">
        <v>185</v>
      </c>
      <c r="C42" s="34">
        <v>120</v>
      </c>
      <c r="D42" s="34">
        <f t="shared" si="3"/>
        <v>103</v>
      </c>
      <c r="E42" s="34">
        <v>70</v>
      </c>
      <c r="F42" s="36">
        <f t="shared" si="5"/>
        <v>0.99950159489633172</v>
      </c>
      <c r="G42" s="36">
        <f t="shared" si="6"/>
        <v>0.86872009569377995</v>
      </c>
      <c r="H42" s="20">
        <f t="shared" si="2"/>
        <v>10300</v>
      </c>
      <c r="I42" s="20">
        <f t="shared" si="2"/>
        <v>7000</v>
      </c>
    </row>
    <row r="43" spans="2:9">
      <c r="B43" s="19" t="s">
        <v>99</v>
      </c>
      <c r="C43" s="34">
        <v>300</v>
      </c>
      <c r="D43" s="34">
        <f t="shared" si="3"/>
        <v>1</v>
      </c>
      <c r="E43" s="34">
        <v>42</v>
      </c>
      <c r="F43" s="36">
        <f t="shared" si="5"/>
        <v>0.99980063795853269</v>
      </c>
      <c r="G43" s="36">
        <f t="shared" si="6"/>
        <v>0.88127990430622016</v>
      </c>
      <c r="H43" s="20">
        <f t="shared" si="2"/>
        <v>31</v>
      </c>
      <c r="I43" s="20">
        <f t="shared" si="2"/>
        <v>1302</v>
      </c>
    </row>
    <row r="44" spans="2:9">
      <c r="B44" s="9" t="s">
        <v>100</v>
      </c>
      <c r="C44" s="34">
        <v>170</v>
      </c>
      <c r="D44" s="34">
        <f t="shared" si="3"/>
        <v>0</v>
      </c>
      <c r="E44" s="34">
        <v>170</v>
      </c>
      <c r="F44" s="36">
        <f t="shared" si="5"/>
        <v>0.99980063795853269</v>
      </c>
      <c r="G44" s="36">
        <f t="shared" si="6"/>
        <v>0.99990031897926646</v>
      </c>
      <c r="H44" s="20">
        <f t="shared" si="2"/>
        <v>0</v>
      </c>
      <c r="I44" s="20">
        <f t="shared" si="2"/>
        <v>9350</v>
      </c>
    </row>
    <row r="45" spans="2:9">
      <c r="G45" s="40" t="s">
        <v>14</v>
      </c>
      <c r="H45" s="41">
        <f>SUM(H37:H44)</f>
        <v>150131</v>
      </c>
      <c r="I45" s="41">
        <f>SUM(I37:I44)</f>
        <v>145597</v>
      </c>
    </row>
    <row r="46" spans="2:9">
      <c r="C46" s="43" t="s">
        <v>119</v>
      </c>
      <c r="D46" s="47">
        <v>500</v>
      </c>
      <c r="G46" s="40" t="s">
        <v>15</v>
      </c>
      <c r="H46" s="41">
        <f>$C$13+D46</f>
        <v>112834.99999999997</v>
      </c>
      <c r="I46" s="41">
        <f>$C$13+D46</f>
        <v>112834.99999999997</v>
      </c>
    </row>
    <row r="47" spans="2:9">
      <c r="G47" s="40" t="s">
        <v>16</v>
      </c>
      <c r="H47" s="41">
        <f>H45-H46</f>
        <v>37296.000000000029</v>
      </c>
      <c r="I47" s="41">
        <f>I45-I46</f>
        <v>32762.000000000029</v>
      </c>
    </row>
    <row r="48" spans="2:9">
      <c r="G48" s="40" t="s">
        <v>114</v>
      </c>
      <c r="I48" s="41">
        <f>H47-I47</f>
        <v>4534</v>
      </c>
    </row>
    <row r="49" spans="7:9">
      <c r="G49" s="40" t="s">
        <v>187</v>
      </c>
      <c r="H49" s="41">
        <f>H47-'Табл9-11'!H44</f>
        <v>311</v>
      </c>
      <c r="I49" s="41">
        <f>I47-'Табл9-11'!I44</f>
        <v>-962</v>
      </c>
    </row>
    <row r="50" spans="7:9">
      <c r="G50" s="40" t="s">
        <v>120</v>
      </c>
      <c r="H50" s="41">
        <v>15000</v>
      </c>
      <c r="I50" s="41">
        <f>H50</f>
        <v>15000</v>
      </c>
    </row>
    <row r="51" spans="7:9">
      <c r="G51" s="40" t="s">
        <v>188</v>
      </c>
      <c r="H51" s="74">
        <f>H49*12/H50</f>
        <v>0.24879999999999999</v>
      </c>
      <c r="I51" s="74">
        <f>I49*12/I50</f>
        <v>-0.76959999999999995</v>
      </c>
    </row>
    <row r="52" spans="7:9">
      <c r="G52" s="40" t="s">
        <v>17</v>
      </c>
      <c r="H52" s="41">
        <f>2100000+H50</f>
        <v>2115000</v>
      </c>
      <c r="I52" s="41">
        <f>2100000+I50</f>
        <v>2115000</v>
      </c>
    </row>
    <row r="53" spans="7:9">
      <c r="G53" s="40" t="s">
        <v>115</v>
      </c>
      <c r="H53" s="42">
        <f>H47*12/H52</f>
        <v>0.21160851063829803</v>
      </c>
      <c r="I53" s="42">
        <f>I47*12/I52</f>
        <v>0.18588368794326257</v>
      </c>
    </row>
  </sheetData>
  <mergeCells count="2">
    <mergeCell ref="F36:G36"/>
    <mergeCell ref="H36:I3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54"/>
  <sheetViews>
    <sheetView showGridLines="0" topLeftCell="A34" workbookViewId="0">
      <selection activeCell="I54" sqref="I54"/>
    </sheetView>
  </sheetViews>
  <sheetFormatPr defaultRowHeight="15"/>
  <cols>
    <col min="1" max="1" width="3.7109375" style="3" customWidth="1"/>
    <col min="2" max="2" width="23.85546875" style="3" customWidth="1"/>
    <col min="3" max="3" width="10.140625" style="25" customWidth="1"/>
    <col min="4" max="4" width="22" style="3" customWidth="1"/>
    <col min="5" max="6" width="15.7109375" style="3" customWidth="1"/>
    <col min="7" max="7" width="11.28515625" style="3" customWidth="1"/>
    <col min="8" max="8" width="10.5703125" style="3" customWidth="1"/>
    <col min="9" max="9" width="12" style="3" customWidth="1"/>
    <col min="10" max="10" width="13.28515625" style="3" customWidth="1"/>
    <col min="11" max="16384" width="9.140625" style="3"/>
  </cols>
  <sheetData>
    <row r="2" spans="2:9">
      <c r="B2" s="29" t="s">
        <v>15</v>
      </c>
      <c r="C2" s="30" t="s">
        <v>83</v>
      </c>
    </row>
    <row r="3" spans="2:9">
      <c r="B3" s="8" t="s">
        <v>79</v>
      </c>
      <c r="C3" s="26" t="s">
        <v>6</v>
      </c>
    </row>
    <row r="4" spans="2:9">
      <c r="B4" s="19" t="s">
        <v>80</v>
      </c>
      <c r="C4" s="27">
        <v>68523.03</v>
      </c>
    </row>
    <row r="5" spans="2:9">
      <c r="B5" s="19" t="s">
        <v>1</v>
      </c>
      <c r="C5" s="27">
        <v>2345.75</v>
      </c>
    </row>
    <row r="6" spans="2:9">
      <c r="B6" s="19" t="s">
        <v>0</v>
      </c>
      <c r="C6" s="27">
        <v>8935.67</v>
      </c>
    </row>
    <row r="7" spans="2:9">
      <c r="B7" s="9" t="s">
        <v>2</v>
      </c>
      <c r="C7" s="27">
        <v>7851.32</v>
      </c>
    </row>
    <row r="8" spans="2:9">
      <c r="B8" s="19" t="s">
        <v>81</v>
      </c>
      <c r="C8" s="27">
        <v>2978.73</v>
      </c>
    </row>
    <row r="9" spans="2:9">
      <c r="B9" s="19" t="s">
        <v>3</v>
      </c>
      <c r="C9" s="27">
        <v>6464.26</v>
      </c>
    </row>
    <row r="10" spans="2:9">
      <c r="B10" s="19" t="s">
        <v>4</v>
      </c>
      <c r="C10" s="27">
        <v>4766.68</v>
      </c>
    </row>
    <row r="11" spans="2:9">
      <c r="B11" s="9" t="s">
        <v>82</v>
      </c>
      <c r="C11" s="27">
        <v>10469.56</v>
      </c>
    </row>
    <row r="12" spans="2:9">
      <c r="B12" s="19" t="s">
        <v>5</v>
      </c>
      <c r="C12" s="27">
        <f>SUM(C4:C11)</f>
        <v>112334.99999999997</v>
      </c>
    </row>
    <row r="13" spans="2:9">
      <c r="B13"/>
      <c r="C13" s="28"/>
    </row>
    <row r="14" spans="2:9">
      <c r="B14" s="28" t="s">
        <v>190</v>
      </c>
    </row>
    <row r="15" spans="2:9" ht="6" customHeight="1">
      <c r="B15" s="28"/>
    </row>
    <row r="16" spans="2:9">
      <c r="B16" t="s">
        <v>192</v>
      </c>
      <c r="C16"/>
      <c r="D16"/>
      <c r="E16"/>
      <c r="F16"/>
      <c r="G16"/>
      <c r="H16"/>
      <c r="I16"/>
    </row>
    <row r="17" spans="2:9">
      <c r="B17" t="s">
        <v>110</v>
      </c>
      <c r="C17" s="38">
        <f>22*8*60*0.95</f>
        <v>10032</v>
      </c>
      <c r="E17" s="1" t="s">
        <v>111</v>
      </c>
      <c r="F17" s="39">
        <f>SUMPRODUCT(F43:F50,C20:C27)/C17</f>
        <v>1.1782296650717703</v>
      </c>
      <c r="H17"/>
      <c r="I17"/>
    </row>
    <row r="18" spans="2:9" ht="8.25" customHeight="1">
      <c r="B18"/>
      <c r="C18"/>
      <c r="D18"/>
      <c r="E18"/>
      <c r="F18"/>
      <c r="G18"/>
      <c r="H18"/>
      <c r="I18"/>
    </row>
    <row r="19" spans="2:9" ht="45" customHeight="1">
      <c r="B19" s="10" t="s">
        <v>7</v>
      </c>
      <c r="C19" s="31" t="s">
        <v>10</v>
      </c>
      <c r="D19" s="31" t="s">
        <v>11</v>
      </c>
      <c r="E19" s="73" t="s">
        <v>12</v>
      </c>
      <c r="F19" s="10" t="s">
        <v>13</v>
      </c>
    </row>
    <row r="20" spans="2:9">
      <c r="B20" s="19" t="s">
        <v>94</v>
      </c>
      <c r="C20" s="34">
        <v>660</v>
      </c>
      <c r="D20" s="34">
        <v>660</v>
      </c>
      <c r="E20" s="37">
        <v>0</v>
      </c>
      <c r="F20" s="20">
        <f t="shared" ref="F20:F26" si="0">D20*$E43</f>
        <v>17160</v>
      </c>
    </row>
    <row r="21" spans="2:9">
      <c r="B21" s="19" t="s">
        <v>95</v>
      </c>
      <c r="C21" s="34">
        <v>420</v>
      </c>
      <c r="D21" s="34">
        <v>420</v>
      </c>
      <c r="E21" s="36">
        <f t="shared" ref="E21:E26" si="1">D21*F44/$C$17+E20</f>
        <v>0.20933014354066987</v>
      </c>
      <c r="F21" s="20">
        <f t="shared" si="0"/>
        <v>35700</v>
      </c>
    </row>
    <row r="22" spans="2:9">
      <c r="B22" s="9" t="s">
        <v>96</v>
      </c>
      <c r="C22" s="34">
        <v>110</v>
      </c>
      <c r="D22" s="34">
        <v>110</v>
      </c>
      <c r="E22" s="36">
        <f t="shared" si="1"/>
        <v>0.37380382775119619</v>
      </c>
      <c r="F22" s="20">
        <f t="shared" si="0"/>
        <v>22990</v>
      </c>
    </row>
    <row r="23" spans="2:9">
      <c r="B23" s="19" t="s">
        <v>97</v>
      </c>
      <c r="C23" s="34">
        <v>250</v>
      </c>
      <c r="D23" s="34">
        <v>225</v>
      </c>
      <c r="E23" s="36">
        <f t="shared" si="1"/>
        <v>0.71022727272727271</v>
      </c>
      <c r="F23" s="20">
        <f t="shared" si="0"/>
        <v>41175</v>
      </c>
    </row>
    <row r="24" spans="2:9">
      <c r="B24" s="19" t="s">
        <v>98</v>
      </c>
      <c r="C24" s="34">
        <v>200</v>
      </c>
      <c r="D24" s="34">
        <v>120</v>
      </c>
      <c r="E24" s="36">
        <f t="shared" si="1"/>
        <v>0.80592105263157898</v>
      </c>
      <c r="F24" s="20">
        <f t="shared" si="0"/>
        <v>10920</v>
      </c>
    </row>
    <row r="25" spans="2:9">
      <c r="B25" s="19" t="s">
        <v>99</v>
      </c>
      <c r="C25" s="34">
        <v>300</v>
      </c>
      <c r="D25" s="34">
        <v>42</v>
      </c>
      <c r="E25" s="36">
        <f t="shared" si="1"/>
        <v>0.8184808612440192</v>
      </c>
      <c r="F25" s="20">
        <f t="shared" si="0"/>
        <v>1302</v>
      </c>
    </row>
    <row r="26" spans="2:9">
      <c r="B26" s="9" t="s">
        <v>100</v>
      </c>
      <c r="C26" s="34">
        <v>170</v>
      </c>
      <c r="D26" s="34">
        <v>170</v>
      </c>
      <c r="E26" s="36">
        <f t="shared" si="1"/>
        <v>0.93710127591706549</v>
      </c>
      <c r="F26" s="20">
        <f t="shared" si="0"/>
        <v>9350</v>
      </c>
    </row>
    <row r="27" spans="2:9">
      <c r="B27" s="9" t="s">
        <v>185</v>
      </c>
      <c r="C27" s="34">
        <v>70</v>
      </c>
      <c r="D27" s="34">
        <v>70</v>
      </c>
      <c r="E27" s="36">
        <v>1</v>
      </c>
      <c r="F27" s="75">
        <f>F29-SUM(F20:F26)</f>
        <v>8202.8857142857159</v>
      </c>
    </row>
    <row r="29" spans="2:9">
      <c r="C29" s="3"/>
      <c r="E29" s="40" t="s">
        <v>14</v>
      </c>
      <c r="F29" s="41">
        <f>F30+F31</f>
        <v>146799.88571428572</v>
      </c>
    </row>
    <row r="30" spans="2:9">
      <c r="B30" s="43" t="s">
        <v>119</v>
      </c>
      <c r="C30" s="47">
        <v>500</v>
      </c>
      <c r="E30" s="40" t="s">
        <v>15</v>
      </c>
      <c r="F30" s="41">
        <f>$C$12+C30</f>
        <v>112834.99999999997</v>
      </c>
    </row>
    <row r="31" spans="2:9">
      <c r="C31" s="3"/>
      <c r="E31" s="40" t="s">
        <v>16</v>
      </c>
      <c r="F31" s="41">
        <f>F34*F35/12</f>
        <v>33964.885714285745</v>
      </c>
    </row>
    <row r="32" spans="2:9">
      <c r="C32" s="3"/>
      <c r="E32" s="40" t="s">
        <v>120</v>
      </c>
      <c r="F32" s="41">
        <v>15000</v>
      </c>
    </row>
    <row r="33" spans="2:7">
      <c r="C33" s="3"/>
      <c r="E33" s="40" t="s">
        <v>191</v>
      </c>
      <c r="F33" s="42">
        <f>F35</f>
        <v>0.19270857142857159</v>
      </c>
    </row>
    <row r="34" spans="2:7">
      <c r="C34" s="3"/>
      <c r="E34" s="40" t="s">
        <v>17</v>
      </c>
      <c r="F34" s="41">
        <f>2100000+F32</f>
        <v>2115000</v>
      </c>
    </row>
    <row r="35" spans="2:7">
      <c r="C35" s="3"/>
      <c r="E35" s="40" t="s">
        <v>115</v>
      </c>
      <c r="F35" s="42">
        <f>'Табл9-11'!I47</f>
        <v>0.19270857142857159</v>
      </c>
    </row>
    <row r="37" spans="2:7">
      <c r="B37" s="28" t="s">
        <v>193</v>
      </c>
      <c r="C37" s="28"/>
    </row>
    <row r="38" spans="2:7" ht="7.5" customHeight="1">
      <c r="B38" s="28"/>
      <c r="C38" s="28"/>
    </row>
    <row r="39" spans="2:7">
      <c r="B39" t="s">
        <v>84</v>
      </c>
      <c r="C39" s="28"/>
    </row>
    <row r="40" spans="2:7" ht="8.25" customHeight="1">
      <c r="B40"/>
      <c r="C40" s="28"/>
    </row>
    <row r="41" spans="2:7">
      <c r="B41" s="7" t="s">
        <v>85</v>
      </c>
      <c r="C41" s="26" t="s">
        <v>86</v>
      </c>
      <c r="D41" s="7" t="s">
        <v>87</v>
      </c>
      <c r="E41" s="26" t="s">
        <v>88</v>
      </c>
      <c r="F41" s="7" t="s">
        <v>89</v>
      </c>
      <c r="G41" s="26" t="s">
        <v>90</v>
      </c>
    </row>
    <row r="42" spans="2:7" ht="45">
      <c r="B42" s="32" t="s">
        <v>7</v>
      </c>
      <c r="C42" s="33" t="s">
        <v>8</v>
      </c>
      <c r="D42" s="32" t="s">
        <v>9</v>
      </c>
      <c r="E42" s="31" t="s">
        <v>92</v>
      </c>
      <c r="F42" s="10" t="s">
        <v>93</v>
      </c>
      <c r="G42" s="31" t="s">
        <v>124</v>
      </c>
    </row>
    <row r="43" spans="2:7">
      <c r="B43" s="19" t="s">
        <v>94</v>
      </c>
      <c r="C43" s="34">
        <v>68</v>
      </c>
      <c r="D43" s="34">
        <v>42</v>
      </c>
      <c r="E43" s="34">
        <f>C43-D43</f>
        <v>26</v>
      </c>
      <c r="F43" s="34">
        <v>0</v>
      </c>
      <c r="G43" s="35" t="s">
        <v>101</v>
      </c>
    </row>
    <row r="44" spans="2:7">
      <c r="B44" s="19" t="s">
        <v>95</v>
      </c>
      <c r="C44" s="34">
        <v>120</v>
      </c>
      <c r="D44" s="34">
        <v>35</v>
      </c>
      <c r="E44" s="34">
        <f t="shared" ref="E44:E49" si="2">C44-D44</f>
        <v>85</v>
      </c>
      <c r="F44" s="34">
        <v>5</v>
      </c>
      <c r="G44" s="27">
        <f>E44/F44</f>
        <v>17</v>
      </c>
    </row>
    <row r="45" spans="2:7">
      <c r="B45" s="9" t="s">
        <v>96</v>
      </c>
      <c r="C45" s="34">
        <v>343</v>
      </c>
      <c r="D45" s="34">
        <v>134</v>
      </c>
      <c r="E45" s="34">
        <f t="shared" si="2"/>
        <v>209</v>
      </c>
      <c r="F45" s="34">
        <v>15</v>
      </c>
      <c r="G45" s="27">
        <f t="shared" ref="G45:G49" si="3">E45/F45</f>
        <v>13.933333333333334</v>
      </c>
    </row>
    <row r="46" spans="2:7">
      <c r="B46" s="19" t="s">
        <v>97</v>
      </c>
      <c r="C46" s="34">
        <v>254</v>
      </c>
      <c r="D46" s="34">
        <v>71</v>
      </c>
      <c r="E46" s="34">
        <f t="shared" si="2"/>
        <v>183</v>
      </c>
      <c r="F46" s="34">
        <v>15</v>
      </c>
      <c r="G46" s="27">
        <f t="shared" si="3"/>
        <v>12.2</v>
      </c>
    </row>
    <row r="47" spans="2:7">
      <c r="B47" s="19" t="s">
        <v>98</v>
      </c>
      <c r="C47" s="34">
        <v>147</v>
      </c>
      <c r="D47" s="34">
        <v>56</v>
      </c>
      <c r="E47" s="34">
        <f t="shared" si="2"/>
        <v>91</v>
      </c>
      <c r="F47" s="34">
        <v>8</v>
      </c>
      <c r="G47" s="27">
        <f t="shared" si="3"/>
        <v>11.375</v>
      </c>
    </row>
    <row r="48" spans="2:7">
      <c r="B48" s="19" t="s">
        <v>99</v>
      </c>
      <c r="C48" s="34">
        <v>35</v>
      </c>
      <c r="D48" s="34">
        <v>4</v>
      </c>
      <c r="E48" s="34">
        <f t="shared" si="2"/>
        <v>31</v>
      </c>
      <c r="F48" s="34">
        <v>3</v>
      </c>
      <c r="G48" s="27">
        <f t="shared" si="3"/>
        <v>10.333333333333334</v>
      </c>
    </row>
    <row r="49" spans="2:9">
      <c r="B49" s="9" t="s">
        <v>100</v>
      </c>
      <c r="C49" s="34">
        <v>97</v>
      </c>
      <c r="D49" s="34">
        <v>42</v>
      </c>
      <c r="E49" s="34">
        <f t="shared" si="2"/>
        <v>55</v>
      </c>
      <c r="F49" s="34">
        <v>7</v>
      </c>
      <c r="G49" s="27">
        <f t="shared" si="3"/>
        <v>7.8571428571428568</v>
      </c>
    </row>
    <row r="50" spans="2:9">
      <c r="B50" s="76" t="s">
        <v>185</v>
      </c>
      <c r="C50" s="77">
        <f>D50+E50</f>
        <v>162.18408163265309</v>
      </c>
      <c r="D50" s="77">
        <v>45</v>
      </c>
      <c r="E50" s="77">
        <f>F27/C27</f>
        <v>117.18408163265309</v>
      </c>
      <c r="F50" s="77">
        <v>9</v>
      </c>
      <c r="G50" s="78">
        <f>E50/F50</f>
        <v>13.020453514739232</v>
      </c>
    </row>
    <row r="54" spans="2:9">
      <c r="I54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J18"/>
  <sheetViews>
    <sheetView showGridLines="0" tabSelected="1" workbookViewId="0">
      <selection activeCell="H29" sqref="H29"/>
    </sheetView>
  </sheetViews>
  <sheetFormatPr defaultRowHeight="15"/>
  <cols>
    <col min="1" max="1" width="3.7109375" style="3" customWidth="1"/>
    <col min="2" max="2" width="20.7109375" style="3" customWidth="1"/>
    <col min="3" max="3" width="20.7109375" style="25" customWidth="1"/>
    <col min="4" max="6" width="20.7109375" style="3" customWidth="1"/>
    <col min="7" max="7" width="11.28515625" style="3" customWidth="1"/>
    <col min="8" max="8" width="10.5703125" style="3" customWidth="1"/>
    <col min="9" max="9" width="12" style="3" customWidth="1"/>
    <col min="10" max="10" width="13.28515625" style="3" customWidth="1"/>
    <col min="11" max="16384" width="9.140625" style="3"/>
  </cols>
  <sheetData>
    <row r="2" spans="2:10">
      <c r="B2" s="8"/>
      <c r="C2" s="26" t="s">
        <v>194</v>
      </c>
      <c r="D2" s="26" t="s">
        <v>195</v>
      </c>
      <c r="E2" s="26" t="s">
        <v>196</v>
      </c>
    </row>
    <row r="3" spans="2:10">
      <c r="B3" s="19"/>
      <c r="C3" s="20">
        <v>4</v>
      </c>
      <c r="D3" s="20">
        <v>4</v>
      </c>
      <c r="E3" s="20">
        <f>MIN(C3:D3)</f>
        <v>4</v>
      </c>
    </row>
    <row r="4" spans="2:10">
      <c r="B4" s="19"/>
      <c r="C4" s="20">
        <v>4</v>
      </c>
      <c r="D4" s="20">
        <v>6</v>
      </c>
      <c r="E4" s="20">
        <f t="shared" ref="E4:E6" si="0">MIN(C4:D4)</f>
        <v>4</v>
      </c>
    </row>
    <row r="5" spans="2:10">
      <c r="B5" s="19"/>
      <c r="C5" s="20">
        <v>6</v>
      </c>
      <c r="D5" s="20">
        <v>4</v>
      </c>
      <c r="E5" s="20">
        <f t="shared" si="0"/>
        <v>4</v>
      </c>
    </row>
    <row r="6" spans="2:10">
      <c r="B6" s="9"/>
      <c r="C6" s="20">
        <v>6</v>
      </c>
      <c r="D6" s="20">
        <v>6</v>
      </c>
      <c r="E6" s="20">
        <f t="shared" si="0"/>
        <v>6</v>
      </c>
    </row>
    <row r="7" spans="2:10" s="81" customFormat="1">
      <c r="B7" s="53" t="s">
        <v>197</v>
      </c>
      <c r="C7" s="83">
        <f>AVERAGE(C3:C6)</f>
        <v>5</v>
      </c>
      <c r="D7" s="83">
        <f>AVERAGE(D3:D6)</f>
        <v>5</v>
      </c>
      <c r="E7" s="83">
        <f>AVERAGE(E3:E6)</f>
        <v>4.5</v>
      </c>
    </row>
    <row r="8" spans="2:10">
      <c r="B8"/>
      <c r="C8" s="28"/>
    </row>
    <row r="9" spans="2:10">
      <c r="B9" s="8"/>
      <c r="C9" s="26" t="s">
        <v>194</v>
      </c>
      <c r="D9" s="26" t="s">
        <v>195</v>
      </c>
      <c r="E9" s="26" t="s">
        <v>198</v>
      </c>
      <c r="F9" s="26" t="s">
        <v>196</v>
      </c>
    </row>
    <row r="10" spans="2:10">
      <c r="B10" s="19"/>
      <c r="C10" s="20">
        <v>4</v>
      </c>
      <c r="D10" s="20">
        <v>4</v>
      </c>
      <c r="E10" s="20">
        <v>4</v>
      </c>
      <c r="F10" s="20">
        <f>MIN(C10:E10)</f>
        <v>4</v>
      </c>
    </row>
    <row r="11" spans="2:10">
      <c r="B11" s="19"/>
      <c r="C11" s="20">
        <v>4</v>
      </c>
      <c r="D11" s="20">
        <v>6</v>
      </c>
      <c r="E11" s="20">
        <v>4</v>
      </c>
      <c r="F11" s="20">
        <f t="shared" ref="F11:F17" si="1">MIN(C11:E11)</f>
        <v>4</v>
      </c>
      <c r="J11"/>
    </row>
    <row r="12" spans="2:10">
      <c r="B12" s="19"/>
      <c r="C12" s="20">
        <v>4</v>
      </c>
      <c r="D12" s="20">
        <v>4</v>
      </c>
      <c r="E12" s="20">
        <v>6</v>
      </c>
      <c r="F12" s="20">
        <f t="shared" si="1"/>
        <v>4</v>
      </c>
    </row>
    <row r="13" spans="2:10">
      <c r="B13" s="9"/>
      <c r="C13" s="20">
        <v>4</v>
      </c>
      <c r="D13" s="20">
        <v>6</v>
      </c>
      <c r="E13" s="20">
        <v>6</v>
      </c>
      <c r="F13" s="20">
        <f t="shared" si="1"/>
        <v>4</v>
      </c>
    </row>
    <row r="14" spans="2:10">
      <c r="B14" s="9"/>
      <c r="C14" s="20">
        <v>6</v>
      </c>
      <c r="D14" s="20">
        <v>4</v>
      </c>
      <c r="E14" s="20">
        <v>4</v>
      </c>
      <c r="F14" s="20">
        <f t="shared" si="1"/>
        <v>4</v>
      </c>
    </row>
    <row r="15" spans="2:10">
      <c r="B15" s="9"/>
      <c r="C15" s="20">
        <v>6</v>
      </c>
      <c r="D15" s="20">
        <v>6</v>
      </c>
      <c r="E15" s="20">
        <v>4</v>
      </c>
      <c r="F15" s="20">
        <f t="shared" si="1"/>
        <v>4</v>
      </c>
    </row>
    <row r="16" spans="2:10">
      <c r="B16" s="9"/>
      <c r="C16" s="20">
        <v>6</v>
      </c>
      <c r="D16" s="20">
        <v>4</v>
      </c>
      <c r="E16" s="20">
        <v>6</v>
      </c>
      <c r="F16" s="20">
        <f t="shared" si="1"/>
        <v>4</v>
      </c>
    </row>
    <row r="17" spans="2:6">
      <c r="B17" s="9"/>
      <c r="C17" s="20">
        <v>6</v>
      </c>
      <c r="D17" s="20">
        <v>6</v>
      </c>
      <c r="E17" s="20">
        <v>6</v>
      </c>
      <c r="F17" s="20">
        <f t="shared" si="1"/>
        <v>6</v>
      </c>
    </row>
    <row r="18" spans="2:6">
      <c r="B18" s="53" t="s">
        <v>197</v>
      </c>
      <c r="C18" s="83">
        <f>AVERAGE(C10:C17)</f>
        <v>5</v>
      </c>
      <c r="D18" s="83">
        <f>AVERAGE(D10:D17)</f>
        <v>5</v>
      </c>
      <c r="E18" s="83">
        <f>AVERAGE(E10:E17)</f>
        <v>5</v>
      </c>
      <c r="F18" s="82">
        <f>AVERAGE(F10:F17)</f>
        <v>4.25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7"/>
  <sheetViews>
    <sheetView showGridLines="0" topLeftCell="A31" workbookViewId="0">
      <selection activeCell="I44" sqref="I44"/>
    </sheetView>
  </sheetViews>
  <sheetFormatPr defaultRowHeight="15"/>
  <cols>
    <col min="1" max="1" width="3.7109375" style="3" customWidth="1"/>
    <col min="2" max="2" width="23.85546875" style="3" customWidth="1"/>
    <col min="3" max="3" width="10.140625" style="25" customWidth="1"/>
    <col min="4" max="4" width="22" style="3" customWidth="1"/>
    <col min="5" max="5" width="13.28515625" style="3" customWidth="1"/>
    <col min="6" max="6" width="11.140625" style="3" customWidth="1"/>
    <col min="7" max="7" width="11.28515625" style="3" customWidth="1"/>
    <col min="8" max="8" width="10.5703125" style="3" customWidth="1"/>
    <col min="9" max="9" width="12" style="3" customWidth="1"/>
    <col min="10" max="10" width="13.28515625" style="3" customWidth="1"/>
    <col min="11" max="16384" width="9.140625" style="3"/>
  </cols>
  <sheetData>
    <row r="1" spans="2:3">
      <c r="B1" t="s">
        <v>78</v>
      </c>
    </row>
    <row r="3" spans="2:3">
      <c r="B3" s="29" t="s">
        <v>15</v>
      </c>
      <c r="C3" s="30" t="s">
        <v>83</v>
      </c>
    </row>
    <row r="4" spans="2:3">
      <c r="B4" s="8" t="s">
        <v>79</v>
      </c>
      <c r="C4" s="26" t="s">
        <v>6</v>
      </c>
    </row>
    <row r="5" spans="2:3">
      <c r="B5" s="19" t="s">
        <v>80</v>
      </c>
      <c r="C5" s="27">
        <v>68523.03</v>
      </c>
    </row>
    <row r="6" spans="2:3">
      <c r="B6" s="19" t="s">
        <v>1</v>
      </c>
      <c r="C6" s="27">
        <v>2345.75</v>
      </c>
    </row>
    <row r="7" spans="2:3">
      <c r="B7" s="19" t="s">
        <v>0</v>
      </c>
      <c r="C7" s="27">
        <v>8935.67</v>
      </c>
    </row>
    <row r="8" spans="2:3">
      <c r="B8" s="9" t="s">
        <v>2</v>
      </c>
      <c r="C8" s="27">
        <v>7851.32</v>
      </c>
    </row>
    <row r="9" spans="2:3">
      <c r="B9" s="19" t="s">
        <v>81</v>
      </c>
      <c r="C9" s="27">
        <v>2978.73</v>
      </c>
    </row>
    <row r="10" spans="2:3">
      <c r="B10" s="19" t="s">
        <v>3</v>
      </c>
      <c r="C10" s="27">
        <v>6464.26</v>
      </c>
    </row>
    <row r="11" spans="2:3">
      <c r="B11" s="19" t="s">
        <v>4</v>
      </c>
      <c r="C11" s="27">
        <v>4766.68</v>
      </c>
    </row>
    <row r="12" spans="2:3">
      <c r="B12" s="9" t="s">
        <v>82</v>
      </c>
      <c r="C12" s="27">
        <v>10469.56</v>
      </c>
    </row>
    <row r="13" spans="2:3">
      <c r="B13" s="19" t="s">
        <v>5</v>
      </c>
      <c r="C13" s="27">
        <f>SUM(C5:C12)</f>
        <v>112334.99999999997</v>
      </c>
    </row>
    <row r="14" spans="2:3">
      <c r="B14"/>
      <c r="C14" s="28"/>
    </row>
    <row r="15" spans="2:3">
      <c r="B15" s="28" t="s">
        <v>116</v>
      </c>
      <c r="C15" s="28"/>
    </row>
    <row r="16" spans="2:3">
      <c r="B16" t="s">
        <v>84</v>
      </c>
      <c r="C16" s="28"/>
    </row>
    <row r="17" spans="2:9">
      <c r="B17"/>
      <c r="C17" s="28"/>
    </row>
    <row r="18" spans="2:9">
      <c r="B18" s="7" t="s">
        <v>85</v>
      </c>
      <c r="C18" s="26" t="s">
        <v>86</v>
      </c>
      <c r="D18" s="7" t="s">
        <v>87</v>
      </c>
      <c r="E18" s="26" t="s">
        <v>88</v>
      </c>
      <c r="F18" s="7" t="s">
        <v>89</v>
      </c>
      <c r="G18" s="26" t="s">
        <v>90</v>
      </c>
    </row>
    <row r="19" spans="2:9" ht="18">
      <c r="B19" s="32" t="s">
        <v>7</v>
      </c>
      <c r="C19" s="33" t="s">
        <v>8</v>
      </c>
      <c r="D19" s="32" t="s">
        <v>9</v>
      </c>
      <c r="E19" s="33" t="s">
        <v>92</v>
      </c>
      <c r="F19" s="32" t="s">
        <v>93</v>
      </c>
      <c r="G19" s="33" t="s">
        <v>91</v>
      </c>
    </row>
    <row r="20" spans="2:9">
      <c r="B20" s="19" t="s">
        <v>94</v>
      </c>
      <c r="C20" s="34">
        <v>68</v>
      </c>
      <c r="D20" s="34">
        <v>42</v>
      </c>
      <c r="E20" s="34">
        <f>C20-D20</f>
        <v>26</v>
      </c>
      <c r="F20" s="34">
        <v>0</v>
      </c>
      <c r="G20" s="35" t="s">
        <v>101</v>
      </c>
    </row>
    <row r="21" spans="2:9">
      <c r="B21" s="19" t="s">
        <v>95</v>
      </c>
      <c r="C21" s="34">
        <v>120</v>
      </c>
      <c r="D21" s="34">
        <v>35</v>
      </c>
      <c r="E21" s="34">
        <f t="shared" ref="E21:E26" si="0">C21-D21</f>
        <v>85</v>
      </c>
      <c r="F21" s="34">
        <v>5</v>
      </c>
      <c r="G21" s="27">
        <f>E21/F21</f>
        <v>17</v>
      </c>
    </row>
    <row r="22" spans="2:9">
      <c r="B22" s="9" t="s">
        <v>96</v>
      </c>
      <c r="C22" s="34">
        <v>343</v>
      </c>
      <c r="D22" s="34">
        <v>134</v>
      </c>
      <c r="E22" s="34">
        <f t="shared" si="0"/>
        <v>209</v>
      </c>
      <c r="F22" s="34">
        <v>15</v>
      </c>
      <c r="G22" s="27">
        <f t="shared" ref="G22:G26" si="1">E22/F22</f>
        <v>13.933333333333334</v>
      </c>
    </row>
    <row r="23" spans="2:9">
      <c r="B23" s="19" t="s">
        <v>97</v>
      </c>
      <c r="C23" s="34">
        <v>254</v>
      </c>
      <c r="D23" s="34">
        <v>71</v>
      </c>
      <c r="E23" s="34">
        <f t="shared" si="0"/>
        <v>183</v>
      </c>
      <c r="F23" s="34">
        <v>15</v>
      </c>
      <c r="G23" s="27">
        <f t="shared" si="1"/>
        <v>12.2</v>
      </c>
    </row>
    <row r="24" spans="2:9">
      <c r="B24" s="19" t="s">
        <v>98</v>
      </c>
      <c r="C24" s="34">
        <v>147</v>
      </c>
      <c r="D24" s="34">
        <v>56</v>
      </c>
      <c r="E24" s="34">
        <f t="shared" si="0"/>
        <v>91</v>
      </c>
      <c r="F24" s="34">
        <v>8</v>
      </c>
      <c r="G24" s="27">
        <f t="shared" si="1"/>
        <v>11.375</v>
      </c>
    </row>
    <row r="25" spans="2:9">
      <c r="B25" s="19" t="s">
        <v>99</v>
      </c>
      <c r="C25" s="34">
        <v>35</v>
      </c>
      <c r="D25" s="34">
        <v>4</v>
      </c>
      <c r="E25" s="34">
        <f t="shared" si="0"/>
        <v>31</v>
      </c>
      <c r="F25" s="34">
        <v>3</v>
      </c>
      <c r="G25" s="27">
        <f t="shared" si="1"/>
        <v>10.333333333333334</v>
      </c>
    </row>
    <row r="26" spans="2:9">
      <c r="B26" s="9" t="s">
        <v>100</v>
      </c>
      <c r="C26" s="34">
        <v>97</v>
      </c>
      <c r="D26" s="34">
        <v>42</v>
      </c>
      <c r="E26" s="34">
        <f t="shared" si="0"/>
        <v>55</v>
      </c>
      <c r="F26" s="34">
        <v>7</v>
      </c>
      <c r="G26" s="27">
        <f t="shared" si="1"/>
        <v>7.8571428571428568</v>
      </c>
    </row>
    <row r="28" spans="2:9">
      <c r="B28" s="28" t="s">
        <v>117</v>
      </c>
    </row>
    <row r="29" spans="2:9">
      <c r="B29" t="s">
        <v>109</v>
      </c>
      <c r="C29"/>
      <c r="D29"/>
      <c r="E29"/>
      <c r="F29"/>
      <c r="G29"/>
      <c r="H29"/>
      <c r="I29"/>
    </row>
    <row r="30" spans="2:9">
      <c r="B30" t="s">
        <v>110</v>
      </c>
      <c r="C30" s="38">
        <f>22*8*60*0.95</f>
        <v>10032</v>
      </c>
      <c r="E30" t="s">
        <v>111</v>
      </c>
      <c r="F30"/>
      <c r="G30" s="39">
        <f>SUMPRODUCT(F20:F26,C34:C40)/C30</f>
        <v>1.1154306220095693</v>
      </c>
      <c r="H30"/>
      <c r="I30"/>
    </row>
    <row r="31" spans="2:9">
      <c r="B31"/>
      <c r="C31"/>
      <c r="D31"/>
      <c r="E31"/>
      <c r="F31"/>
      <c r="G31"/>
      <c r="H31"/>
      <c r="I31"/>
    </row>
    <row r="32" spans="2:9">
      <c r="B32" s="7" t="s">
        <v>102</v>
      </c>
      <c r="C32" s="26" t="s">
        <v>103</v>
      </c>
      <c r="D32" s="7" t="s">
        <v>104</v>
      </c>
      <c r="E32" s="26" t="s">
        <v>105</v>
      </c>
      <c r="F32" s="7" t="s">
        <v>106</v>
      </c>
      <c r="G32" s="7" t="s">
        <v>107</v>
      </c>
      <c r="H32" s="7" t="s">
        <v>112</v>
      </c>
      <c r="I32" s="26" t="s">
        <v>113</v>
      </c>
    </row>
    <row r="33" spans="2:9" ht="45">
      <c r="B33" s="10" t="s">
        <v>7</v>
      </c>
      <c r="C33" s="31" t="s">
        <v>10</v>
      </c>
      <c r="D33" s="10" t="s">
        <v>108</v>
      </c>
      <c r="E33" s="31" t="s">
        <v>11</v>
      </c>
      <c r="F33" s="79" t="s">
        <v>12</v>
      </c>
      <c r="G33" s="80"/>
      <c r="H33" s="79" t="s">
        <v>13</v>
      </c>
      <c r="I33" s="80"/>
    </row>
    <row r="34" spans="2:9">
      <c r="B34" s="19" t="s">
        <v>94</v>
      </c>
      <c r="C34" s="34">
        <v>660</v>
      </c>
      <c r="D34" s="34">
        <f>IF(F20&gt;0,IF(F34&lt;1,MIN(C34,$C$30/F20),0),C34)</f>
        <v>660</v>
      </c>
      <c r="E34" s="34">
        <f>D34</f>
        <v>660</v>
      </c>
      <c r="F34" s="36">
        <v>0</v>
      </c>
      <c r="G34" s="37">
        <v>0</v>
      </c>
      <c r="H34" s="20">
        <f>D34*$E20</f>
        <v>17160</v>
      </c>
      <c r="I34" s="20">
        <f>E34*$E20</f>
        <v>17160</v>
      </c>
    </row>
    <row r="35" spans="2:9">
      <c r="B35" s="19" t="s">
        <v>95</v>
      </c>
      <c r="C35" s="34">
        <v>420</v>
      </c>
      <c r="D35" s="34">
        <f>FLOOR(IF(F21&gt;0,IF(F34&lt;1,MIN(C35,$C$30*(1-F34)/F21),0),C35),1)</f>
        <v>420</v>
      </c>
      <c r="E35" s="34">
        <f t="shared" ref="E35:E37" si="2">D35</f>
        <v>420</v>
      </c>
      <c r="F35" s="36">
        <f>D35*F21/$C$30+F34</f>
        <v>0.20933014354066987</v>
      </c>
      <c r="G35" s="36">
        <f>E35*F21/$C$30+G34</f>
        <v>0.20933014354066987</v>
      </c>
      <c r="H35" s="20">
        <f t="shared" ref="H35:I40" si="3">D35*$E21</f>
        <v>35700</v>
      </c>
      <c r="I35" s="20">
        <f t="shared" si="3"/>
        <v>35700</v>
      </c>
    </row>
    <row r="36" spans="2:9">
      <c r="B36" s="9" t="s">
        <v>96</v>
      </c>
      <c r="C36" s="34">
        <v>110</v>
      </c>
      <c r="D36" s="34">
        <f t="shared" ref="D36:D40" si="4">FLOOR(IF(F22&gt;0,IF(F35&lt;1,MIN(C36,$C$30*(1-F35)/F22),0),C36),1)</f>
        <v>110</v>
      </c>
      <c r="E36" s="34">
        <f t="shared" si="2"/>
        <v>110</v>
      </c>
      <c r="F36" s="36">
        <f t="shared" ref="F36:F40" si="5">D36*F22/$C$30+F35</f>
        <v>0.37380382775119619</v>
      </c>
      <c r="G36" s="36">
        <f t="shared" ref="G36:G40" si="6">E36*F22/$C$30+G35</f>
        <v>0.37380382775119619</v>
      </c>
      <c r="H36" s="20">
        <f t="shared" si="3"/>
        <v>22990</v>
      </c>
      <c r="I36" s="20">
        <f t="shared" si="3"/>
        <v>22990</v>
      </c>
    </row>
    <row r="37" spans="2:9">
      <c r="B37" s="19" t="s">
        <v>97</v>
      </c>
      <c r="C37" s="34">
        <v>250</v>
      </c>
      <c r="D37" s="34">
        <f t="shared" si="4"/>
        <v>250</v>
      </c>
      <c r="E37" s="34">
        <f t="shared" si="2"/>
        <v>250</v>
      </c>
      <c r="F37" s="36">
        <f t="shared" si="5"/>
        <v>0.74760765550239239</v>
      </c>
      <c r="G37" s="36">
        <f t="shared" si="6"/>
        <v>0.74760765550239239</v>
      </c>
      <c r="H37" s="20">
        <f t="shared" si="3"/>
        <v>45750</v>
      </c>
      <c r="I37" s="20">
        <f t="shared" si="3"/>
        <v>45750</v>
      </c>
    </row>
    <row r="38" spans="2:9">
      <c r="B38" s="19" t="s">
        <v>98</v>
      </c>
      <c r="C38" s="34">
        <v>200</v>
      </c>
      <c r="D38" s="34">
        <f t="shared" si="4"/>
        <v>200</v>
      </c>
      <c r="E38" s="34">
        <v>149</v>
      </c>
      <c r="F38" s="36">
        <f t="shared" si="5"/>
        <v>0.90709728867623607</v>
      </c>
      <c r="G38" s="36">
        <f t="shared" si="6"/>
        <v>0.86642743221690599</v>
      </c>
      <c r="H38" s="20">
        <f t="shared" si="3"/>
        <v>18200</v>
      </c>
      <c r="I38" s="20">
        <f t="shared" si="3"/>
        <v>13559</v>
      </c>
    </row>
    <row r="39" spans="2:9">
      <c r="B39" s="19" t="s">
        <v>99</v>
      </c>
      <c r="C39" s="34">
        <v>300</v>
      </c>
      <c r="D39" s="34">
        <f t="shared" si="4"/>
        <v>300</v>
      </c>
      <c r="E39" s="34">
        <v>50</v>
      </c>
      <c r="F39" s="36">
        <f t="shared" si="5"/>
        <v>0.99681020733652315</v>
      </c>
      <c r="G39" s="36">
        <f t="shared" si="6"/>
        <v>0.88137958532695382</v>
      </c>
      <c r="H39" s="20">
        <f t="shared" si="3"/>
        <v>9300</v>
      </c>
      <c r="I39" s="20">
        <f t="shared" si="3"/>
        <v>1550</v>
      </c>
    </row>
    <row r="40" spans="2:9">
      <c r="B40" s="9" t="s">
        <v>100</v>
      </c>
      <c r="C40" s="34">
        <v>170</v>
      </c>
      <c r="D40" s="34">
        <f t="shared" si="4"/>
        <v>4</v>
      </c>
      <c r="E40" s="34">
        <f>C40</f>
        <v>170</v>
      </c>
      <c r="F40" s="36">
        <f t="shared" si="5"/>
        <v>0.99960127591706538</v>
      </c>
      <c r="G40" s="36">
        <f t="shared" si="6"/>
        <v>1</v>
      </c>
      <c r="H40" s="20">
        <f t="shared" si="3"/>
        <v>220</v>
      </c>
      <c r="I40" s="20">
        <f t="shared" si="3"/>
        <v>9350</v>
      </c>
    </row>
    <row r="42" spans="2:9">
      <c r="G42" s="40" t="s">
        <v>14</v>
      </c>
      <c r="H42" s="41">
        <f>SUM(H34:H41)</f>
        <v>149320</v>
      </c>
      <c r="I42" s="41">
        <f>SUM(I34:I41)</f>
        <v>146059</v>
      </c>
    </row>
    <row r="43" spans="2:9">
      <c r="G43" s="40" t="s">
        <v>15</v>
      </c>
      <c r="H43" s="41">
        <f>$C$13</f>
        <v>112334.99999999997</v>
      </c>
      <c r="I43" s="41">
        <f>$C$13</f>
        <v>112334.99999999997</v>
      </c>
    </row>
    <row r="44" spans="2:9">
      <c r="G44" s="40" t="s">
        <v>16</v>
      </c>
      <c r="H44" s="41">
        <f>H42-H43</f>
        <v>36985.000000000029</v>
      </c>
      <c r="I44" s="41">
        <f>I42-I43</f>
        <v>33724.000000000029</v>
      </c>
    </row>
    <row r="45" spans="2:9">
      <c r="G45" s="40" t="s">
        <v>114</v>
      </c>
      <c r="I45" s="41">
        <f>H44-I44</f>
        <v>3261</v>
      </c>
    </row>
    <row r="46" spans="2:9">
      <c r="G46" s="40" t="s">
        <v>17</v>
      </c>
      <c r="H46" s="41">
        <v>2100000</v>
      </c>
      <c r="I46" s="41">
        <f>H46</f>
        <v>2100000</v>
      </c>
    </row>
    <row r="47" spans="2:9">
      <c r="G47" s="40" t="s">
        <v>115</v>
      </c>
      <c r="H47" s="42">
        <f>H44*12/H46</f>
        <v>0.2113428571428573</v>
      </c>
      <c r="I47" s="42">
        <f>I44*12/I46</f>
        <v>0.19270857142857159</v>
      </c>
    </row>
  </sheetData>
  <mergeCells count="2">
    <mergeCell ref="F33:G33"/>
    <mergeCell ref="H33:I3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47"/>
  <sheetViews>
    <sheetView showGridLines="0" topLeftCell="A25" workbookViewId="0">
      <selection activeCell="D51" sqref="D51"/>
    </sheetView>
  </sheetViews>
  <sheetFormatPr defaultRowHeight="15"/>
  <cols>
    <col min="1" max="1" width="3.7109375" style="3" customWidth="1"/>
    <col min="2" max="2" width="23.85546875" style="3" customWidth="1"/>
    <col min="3" max="3" width="10.140625" style="25" customWidth="1"/>
    <col min="4" max="4" width="22" style="3" customWidth="1"/>
    <col min="5" max="5" width="13.28515625" style="3" customWidth="1"/>
    <col min="6" max="6" width="11.140625" style="3" customWidth="1"/>
    <col min="7" max="7" width="11.28515625" style="3" customWidth="1"/>
    <col min="8" max="8" width="10.5703125" style="3" customWidth="1"/>
    <col min="9" max="9" width="12" style="3" customWidth="1"/>
    <col min="10" max="10" width="13.28515625" style="3" customWidth="1"/>
    <col min="11" max="16384" width="9.140625" style="3"/>
  </cols>
  <sheetData>
    <row r="1" spans="2:7">
      <c r="B1"/>
    </row>
    <row r="2" spans="2:7">
      <c r="B2" s="29" t="s">
        <v>15</v>
      </c>
      <c r="C2" s="30" t="s">
        <v>83</v>
      </c>
    </row>
    <row r="3" spans="2:7">
      <c r="B3" s="8" t="s">
        <v>79</v>
      </c>
      <c r="C3" s="26" t="s">
        <v>6</v>
      </c>
    </row>
    <row r="4" spans="2:7">
      <c r="B4" s="19" t="s">
        <v>80</v>
      </c>
      <c r="C4" s="27">
        <v>68523.03</v>
      </c>
    </row>
    <row r="5" spans="2:7">
      <c r="B5" s="19" t="s">
        <v>1</v>
      </c>
      <c r="C5" s="27">
        <v>2345.75</v>
      </c>
    </row>
    <row r="6" spans="2:7">
      <c r="B6" s="19" t="s">
        <v>0</v>
      </c>
      <c r="C6" s="27">
        <v>8935.67</v>
      </c>
    </row>
    <row r="7" spans="2:7">
      <c r="B7" s="9" t="s">
        <v>2</v>
      </c>
      <c r="C7" s="27">
        <v>7851.32</v>
      </c>
    </row>
    <row r="8" spans="2:7">
      <c r="B8" s="19" t="s">
        <v>81</v>
      </c>
      <c r="C8" s="27">
        <v>2978.73</v>
      </c>
    </row>
    <row r="9" spans="2:7">
      <c r="B9" s="19" t="s">
        <v>3</v>
      </c>
      <c r="C9" s="27">
        <v>6464.26</v>
      </c>
    </row>
    <row r="10" spans="2:7">
      <c r="B10" s="19" t="s">
        <v>4</v>
      </c>
      <c r="C10" s="27">
        <v>4766.68</v>
      </c>
    </row>
    <row r="11" spans="2:7">
      <c r="B11" s="9" t="s">
        <v>82</v>
      </c>
      <c r="C11" s="27">
        <v>10469.56</v>
      </c>
    </row>
    <row r="12" spans="2:7">
      <c r="B12" s="19" t="s">
        <v>5</v>
      </c>
      <c r="C12" s="27">
        <f>SUM(C4:C11)</f>
        <v>112334.99999999997</v>
      </c>
    </row>
    <row r="13" spans="2:7">
      <c r="B13"/>
      <c r="C13" s="28"/>
    </row>
    <row r="14" spans="2:7">
      <c r="B14" t="s">
        <v>84</v>
      </c>
      <c r="C14" s="28"/>
    </row>
    <row r="15" spans="2:7">
      <c r="B15"/>
      <c r="C15" s="28"/>
    </row>
    <row r="16" spans="2:7">
      <c r="B16" s="7" t="s">
        <v>85</v>
      </c>
      <c r="C16" s="26" t="s">
        <v>86</v>
      </c>
      <c r="D16" s="7" t="s">
        <v>87</v>
      </c>
      <c r="E16" s="26" t="s">
        <v>88</v>
      </c>
      <c r="F16" s="7" t="s">
        <v>89</v>
      </c>
      <c r="G16" s="26" t="s">
        <v>90</v>
      </c>
    </row>
    <row r="17" spans="2:9" ht="18">
      <c r="B17" s="32" t="s">
        <v>7</v>
      </c>
      <c r="C17" s="33" t="s">
        <v>8</v>
      </c>
      <c r="D17" s="32" t="s">
        <v>9</v>
      </c>
      <c r="E17" s="33" t="s">
        <v>92</v>
      </c>
      <c r="F17" s="32" t="s">
        <v>93</v>
      </c>
      <c r="G17" s="33" t="s">
        <v>91</v>
      </c>
    </row>
    <row r="18" spans="2:9">
      <c r="B18" s="19" t="s">
        <v>94</v>
      </c>
      <c r="C18" s="34">
        <v>68</v>
      </c>
      <c r="D18" s="34">
        <v>42</v>
      </c>
      <c r="E18" s="34">
        <f>C18-D18</f>
        <v>26</v>
      </c>
      <c r="F18" s="34">
        <v>0</v>
      </c>
      <c r="G18" s="35" t="s">
        <v>101</v>
      </c>
    </row>
    <row r="19" spans="2:9">
      <c r="B19" s="19" t="s">
        <v>95</v>
      </c>
      <c r="C19" s="34">
        <v>120</v>
      </c>
      <c r="D19" s="34">
        <v>35</v>
      </c>
      <c r="E19" s="34">
        <f t="shared" ref="E19:E24" si="0">C19-D19</f>
        <v>85</v>
      </c>
      <c r="F19" s="34">
        <v>5</v>
      </c>
      <c r="G19" s="27">
        <f>E19/F19</f>
        <v>17</v>
      </c>
    </row>
    <row r="20" spans="2:9">
      <c r="B20" s="9" t="s">
        <v>96</v>
      </c>
      <c r="C20" s="34">
        <v>343</v>
      </c>
      <c r="D20" s="34">
        <v>134</v>
      </c>
      <c r="E20" s="34">
        <f t="shared" si="0"/>
        <v>209</v>
      </c>
      <c r="F20" s="34">
        <v>15</v>
      </c>
      <c r="G20" s="27">
        <f t="shared" ref="G20:G24" si="1">E20/F20</f>
        <v>13.933333333333334</v>
      </c>
    </row>
    <row r="21" spans="2:9">
      <c r="B21" s="19" t="s">
        <v>97</v>
      </c>
      <c r="C21" s="34">
        <v>254</v>
      </c>
      <c r="D21" s="34">
        <v>71</v>
      </c>
      <c r="E21" s="34">
        <f t="shared" si="0"/>
        <v>183</v>
      </c>
      <c r="F21" s="34">
        <v>15</v>
      </c>
      <c r="G21" s="27">
        <f t="shared" si="1"/>
        <v>12.2</v>
      </c>
    </row>
    <row r="22" spans="2:9">
      <c r="B22" s="19" t="s">
        <v>98</v>
      </c>
      <c r="C22" s="34">
        <v>147</v>
      </c>
      <c r="D22" s="34">
        <v>56</v>
      </c>
      <c r="E22" s="34">
        <f t="shared" si="0"/>
        <v>91</v>
      </c>
      <c r="F22" s="34">
        <v>8</v>
      </c>
      <c r="G22" s="27">
        <f t="shared" si="1"/>
        <v>11.375</v>
      </c>
    </row>
    <row r="23" spans="2:9">
      <c r="B23" s="19" t="s">
        <v>99</v>
      </c>
      <c r="C23" s="34">
        <v>35</v>
      </c>
      <c r="D23" s="34">
        <v>4</v>
      </c>
      <c r="E23" s="34">
        <f t="shared" si="0"/>
        <v>31</v>
      </c>
      <c r="F23" s="34">
        <v>3</v>
      </c>
      <c r="G23" s="27">
        <f t="shared" si="1"/>
        <v>10.333333333333334</v>
      </c>
    </row>
    <row r="24" spans="2:9">
      <c r="B24" s="9" t="s">
        <v>100</v>
      </c>
      <c r="C24" s="34">
        <v>97</v>
      </c>
      <c r="D24" s="34">
        <v>42</v>
      </c>
      <c r="E24" s="34">
        <f t="shared" si="0"/>
        <v>55</v>
      </c>
      <c r="F24" s="34">
        <v>7</v>
      </c>
      <c r="G24" s="27">
        <f t="shared" si="1"/>
        <v>7.8571428571428568</v>
      </c>
    </row>
    <row r="26" spans="2:9">
      <c r="B26" s="28" t="s">
        <v>118</v>
      </c>
    </row>
    <row r="27" spans="2:9">
      <c r="B27" t="s">
        <v>109</v>
      </c>
      <c r="C27"/>
      <c r="D27"/>
      <c r="E27"/>
      <c r="F27"/>
      <c r="G27"/>
      <c r="H27"/>
      <c r="I27"/>
    </row>
    <row r="28" spans="2:9">
      <c r="B28" t="s">
        <v>110</v>
      </c>
      <c r="C28" s="38">
        <f>22*8*60*0.975</f>
        <v>10296</v>
      </c>
      <c r="E28" t="s">
        <v>111</v>
      </c>
      <c r="F28"/>
      <c r="G28" s="39">
        <f>SUMPRODUCT(F18:F24,C32:C38)/C28</f>
        <v>1.0868298368298368</v>
      </c>
      <c r="H28"/>
      <c r="I28"/>
    </row>
    <row r="29" spans="2:9">
      <c r="B29"/>
      <c r="C29"/>
      <c r="D29"/>
      <c r="E29"/>
      <c r="F29"/>
      <c r="G29"/>
      <c r="H29"/>
      <c r="I29"/>
    </row>
    <row r="30" spans="2:9">
      <c r="B30" s="7" t="s">
        <v>102</v>
      </c>
      <c r="C30" s="26" t="s">
        <v>103</v>
      </c>
      <c r="D30" s="7" t="s">
        <v>104</v>
      </c>
      <c r="E30" s="26" t="s">
        <v>105</v>
      </c>
      <c r="F30" s="7" t="s">
        <v>106</v>
      </c>
      <c r="G30" s="7" t="s">
        <v>107</v>
      </c>
      <c r="H30" s="7" t="s">
        <v>112</v>
      </c>
      <c r="I30" s="26" t="s">
        <v>113</v>
      </c>
    </row>
    <row r="31" spans="2:9" ht="45">
      <c r="B31" s="10" t="s">
        <v>7</v>
      </c>
      <c r="C31" s="31" t="s">
        <v>10</v>
      </c>
      <c r="D31" s="10" t="s">
        <v>108</v>
      </c>
      <c r="E31" s="31" t="s">
        <v>11</v>
      </c>
      <c r="F31" s="79" t="s">
        <v>12</v>
      </c>
      <c r="G31" s="80"/>
      <c r="H31" s="79" t="s">
        <v>13</v>
      </c>
      <c r="I31" s="80"/>
    </row>
    <row r="32" spans="2:9">
      <c r="B32" s="19" t="s">
        <v>94</v>
      </c>
      <c r="C32" s="34">
        <v>660</v>
      </c>
      <c r="D32" s="34">
        <f>IF(F18&gt;0,IF(F32&lt;1,MIN(C32,$C$28/F18),0),C32)</f>
        <v>660</v>
      </c>
      <c r="E32" s="34">
        <f>D32</f>
        <v>660</v>
      </c>
      <c r="F32" s="36">
        <v>0</v>
      </c>
      <c r="G32" s="37">
        <v>0</v>
      </c>
      <c r="H32" s="20">
        <f t="shared" ref="H32:I38" si="2">D32*$E18</f>
        <v>17160</v>
      </c>
      <c r="I32" s="20">
        <f t="shared" si="2"/>
        <v>17160</v>
      </c>
    </row>
    <row r="33" spans="2:9">
      <c r="B33" s="19" t="s">
        <v>95</v>
      </c>
      <c r="C33" s="34">
        <v>420</v>
      </c>
      <c r="D33" s="34">
        <f t="shared" ref="D33:D38" si="3">FLOOR(IF(F19&gt;0,IF(F32&lt;1,MIN(C33,$C$28*(1-F32)/F19),0),C33),1)</f>
        <v>420</v>
      </c>
      <c r="E33" s="34">
        <f t="shared" ref="E33:E35" si="4">D33</f>
        <v>420</v>
      </c>
      <c r="F33" s="36">
        <f t="shared" ref="F33:F38" si="5">D33*F19/$C$28+F32</f>
        <v>0.20396270396270397</v>
      </c>
      <c r="G33" s="36">
        <f t="shared" ref="G33:G38" si="6">E33*F19/$C$28+G32</f>
        <v>0.20396270396270397</v>
      </c>
      <c r="H33" s="20">
        <f t="shared" si="2"/>
        <v>35700</v>
      </c>
      <c r="I33" s="20">
        <f t="shared" si="2"/>
        <v>35700</v>
      </c>
    </row>
    <row r="34" spans="2:9">
      <c r="B34" s="9" t="s">
        <v>96</v>
      </c>
      <c r="C34" s="34">
        <v>110</v>
      </c>
      <c r="D34" s="34">
        <f t="shared" si="3"/>
        <v>110</v>
      </c>
      <c r="E34" s="34">
        <f t="shared" si="4"/>
        <v>110</v>
      </c>
      <c r="F34" s="36">
        <f t="shared" si="5"/>
        <v>0.36421911421911424</v>
      </c>
      <c r="G34" s="36">
        <f t="shared" si="6"/>
        <v>0.36421911421911424</v>
      </c>
      <c r="H34" s="20">
        <f t="shared" si="2"/>
        <v>22990</v>
      </c>
      <c r="I34" s="20">
        <f t="shared" si="2"/>
        <v>22990</v>
      </c>
    </row>
    <row r="35" spans="2:9">
      <c r="B35" s="19" t="s">
        <v>97</v>
      </c>
      <c r="C35" s="34">
        <v>250</v>
      </c>
      <c r="D35" s="34">
        <f t="shared" si="3"/>
        <v>250</v>
      </c>
      <c r="E35" s="34">
        <f t="shared" si="4"/>
        <v>250</v>
      </c>
      <c r="F35" s="36">
        <f t="shared" si="5"/>
        <v>0.72843822843822847</v>
      </c>
      <c r="G35" s="36">
        <f t="shared" si="6"/>
        <v>0.72843822843822847</v>
      </c>
      <c r="H35" s="20">
        <f t="shared" si="2"/>
        <v>45750</v>
      </c>
      <c r="I35" s="20">
        <f t="shared" si="2"/>
        <v>45750</v>
      </c>
    </row>
    <row r="36" spans="2:9">
      <c r="B36" s="19" t="s">
        <v>98</v>
      </c>
      <c r="C36" s="34">
        <v>200</v>
      </c>
      <c r="D36" s="34">
        <f t="shared" si="3"/>
        <v>200</v>
      </c>
      <c r="E36" s="34">
        <v>182</v>
      </c>
      <c r="F36" s="36">
        <f t="shared" si="5"/>
        <v>0.88383838383838387</v>
      </c>
      <c r="G36" s="36">
        <f t="shared" si="6"/>
        <v>0.86985236985236991</v>
      </c>
      <c r="H36" s="20">
        <f t="shared" si="2"/>
        <v>18200</v>
      </c>
      <c r="I36" s="20">
        <f t="shared" si="2"/>
        <v>16562</v>
      </c>
    </row>
    <row r="37" spans="2:9">
      <c r="B37" s="19" t="s">
        <v>99</v>
      </c>
      <c r="C37" s="34">
        <v>300</v>
      </c>
      <c r="D37" s="34">
        <f t="shared" si="3"/>
        <v>300</v>
      </c>
      <c r="E37" s="34">
        <v>50</v>
      </c>
      <c r="F37" s="36">
        <f t="shared" si="5"/>
        <v>0.97125097125097126</v>
      </c>
      <c r="G37" s="36">
        <f t="shared" si="6"/>
        <v>0.88442113442113446</v>
      </c>
      <c r="H37" s="20">
        <f t="shared" si="2"/>
        <v>9300</v>
      </c>
      <c r="I37" s="20">
        <f t="shared" si="2"/>
        <v>1550</v>
      </c>
    </row>
    <row r="38" spans="2:9">
      <c r="B38" s="9" t="s">
        <v>100</v>
      </c>
      <c r="C38" s="34">
        <v>170</v>
      </c>
      <c r="D38" s="34">
        <f t="shared" si="3"/>
        <v>42</v>
      </c>
      <c r="E38" s="34">
        <f>C38</f>
        <v>170</v>
      </c>
      <c r="F38" s="36">
        <f t="shared" si="5"/>
        <v>0.99980574980574977</v>
      </c>
      <c r="G38" s="36">
        <f t="shared" si="6"/>
        <v>1</v>
      </c>
      <c r="H38" s="20">
        <f t="shared" si="2"/>
        <v>2310</v>
      </c>
      <c r="I38" s="20">
        <f t="shared" si="2"/>
        <v>9350</v>
      </c>
    </row>
    <row r="40" spans="2:9">
      <c r="G40" s="40" t="s">
        <v>14</v>
      </c>
      <c r="H40" s="41">
        <f>SUM(H32:H39)</f>
        <v>151410</v>
      </c>
      <c r="I40" s="41">
        <f>SUM(I32:I39)</f>
        <v>149062</v>
      </c>
    </row>
    <row r="41" spans="2:9">
      <c r="C41" s="43" t="s">
        <v>119</v>
      </c>
      <c r="D41" s="47">
        <v>600</v>
      </c>
      <c r="G41" s="40" t="s">
        <v>15</v>
      </c>
      <c r="H41" s="41">
        <f>$C$12+D41</f>
        <v>112934.99999999997</v>
      </c>
      <c r="I41" s="41">
        <f>$C$12+D41</f>
        <v>112934.99999999997</v>
      </c>
    </row>
    <row r="42" spans="2:9">
      <c r="G42" s="40" t="s">
        <v>16</v>
      </c>
      <c r="H42" s="41">
        <f>H40-H41</f>
        <v>38475.000000000029</v>
      </c>
      <c r="I42" s="41">
        <f>I40-I41</f>
        <v>36127.000000000029</v>
      </c>
    </row>
    <row r="43" spans="2:9">
      <c r="G43" s="40" t="s">
        <v>114</v>
      </c>
      <c r="I43" s="41">
        <f>H42-I42</f>
        <v>2348</v>
      </c>
    </row>
    <row r="44" spans="2:9">
      <c r="G44" s="40" t="s">
        <v>121</v>
      </c>
      <c r="H44" s="41">
        <f>H42-'Табл9-11'!H44</f>
        <v>1490</v>
      </c>
      <c r="I44" s="41">
        <f>I42-'Табл9-11'!I44</f>
        <v>2403</v>
      </c>
    </row>
    <row r="45" spans="2:9">
      <c r="G45" s="40" t="s">
        <v>120</v>
      </c>
      <c r="H45" s="3">
        <v>0</v>
      </c>
      <c r="I45" s="3">
        <v>0</v>
      </c>
    </row>
    <row r="46" spans="2:9">
      <c r="G46" s="40" t="s">
        <v>17</v>
      </c>
      <c r="H46" s="41">
        <v>2100000</v>
      </c>
      <c r="I46" s="41">
        <f>H46</f>
        <v>2100000</v>
      </c>
    </row>
    <row r="47" spans="2:9">
      <c r="G47" s="40" t="s">
        <v>115</v>
      </c>
      <c r="H47" s="42">
        <f>H42*12/H46</f>
        <v>0.21985714285714303</v>
      </c>
      <c r="I47" s="42">
        <f>I42*12/I46</f>
        <v>0.20644000000000018</v>
      </c>
    </row>
  </sheetData>
  <mergeCells count="2">
    <mergeCell ref="F31:G31"/>
    <mergeCell ref="H31:I3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7"/>
  <sheetViews>
    <sheetView showGridLines="0" topLeftCell="A28" workbookViewId="0">
      <selection activeCell="C41" sqref="C41:D41"/>
    </sheetView>
  </sheetViews>
  <sheetFormatPr defaultRowHeight="15"/>
  <cols>
    <col min="1" max="1" width="3.7109375" style="3" customWidth="1"/>
    <col min="2" max="2" width="23.85546875" style="3" customWidth="1"/>
    <col min="3" max="3" width="10.140625" style="25" customWidth="1"/>
    <col min="4" max="4" width="22" style="3" customWidth="1"/>
    <col min="5" max="5" width="13.28515625" style="3" customWidth="1"/>
    <col min="6" max="6" width="11.140625" style="3" customWidth="1"/>
    <col min="7" max="7" width="11.28515625" style="3" customWidth="1"/>
    <col min="8" max="8" width="10.5703125" style="3" customWidth="1"/>
    <col min="9" max="9" width="12" style="3" customWidth="1"/>
    <col min="10" max="10" width="3.7109375" style="3" customWidth="1"/>
    <col min="11" max="16384" width="9.140625" style="3"/>
  </cols>
  <sheetData>
    <row r="1" spans="2:7">
      <c r="B1"/>
    </row>
    <row r="2" spans="2:7" s="46" customFormat="1" ht="20.25" customHeight="1">
      <c r="B2" s="44" t="s">
        <v>15</v>
      </c>
      <c r="C2" s="45" t="s">
        <v>83</v>
      </c>
    </row>
    <row r="3" spans="2:7">
      <c r="B3" s="8" t="s">
        <v>79</v>
      </c>
      <c r="C3" s="26" t="s">
        <v>6</v>
      </c>
    </row>
    <row r="4" spans="2:7">
      <c r="B4" s="19" t="s">
        <v>80</v>
      </c>
      <c r="C4" s="27">
        <v>68523.03</v>
      </c>
    </row>
    <row r="5" spans="2:7">
      <c r="B5" s="19" t="s">
        <v>1</v>
      </c>
      <c r="C5" s="27">
        <v>2345.75</v>
      </c>
    </row>
    <row r="6" spans="2:7">
      <c r="B6" s="19" t="s">
        <v>0</v>
      </c>
      <c r="C6" s="27">
        <v>8935.67</v>
      </c>
    </row>
    <row r="7" spans="2:7">
      <c r="B7" s="9" t="s">
        <v>2</v>
      </c>
      <c r="C7" s="27">
        <v>7851.32</v>
      </c>
    </row>
    <row r="8" spans="2:7">
      <c r="B8" s="19" t="s">
        <v>81</v>
      </c>
      <c r="C8" s="27">
        <v>2978.73</v>
      </c>
    </row>
    <row r="9" spans="2:7">
      <c r="B9" s="19" t="s">
        <v>3</v>
      </c>
      <c r="C9" s="27">
        <v>6464.26</v>
      </c>
    </row>
    <row r="10" spans="2:7">
      <c r="B10" s="19" t="s">
        <v>4</v>
      </c>
      <c r="C10" s="27">
        <v>4766.68</v>
      </c>
    </row>
    <row r="11" spans="2:7">
      <c r="B11" s="9" t="s">
        <v>82</v>
      </c>
      <c r="C11" s="27">
        <v>10469.56</v>
      </c>
    </row>
    <row r="12" spans="2:7">
      <c r="B12" s="19" t="s">
        <v>5</v>
      </c>
      <c r="C12" s="27">
        <f>SUM(C4:C11)</f>
        <v>112334.99999999997</v>
      </c>
    </row>
    <row r="13" spans="2:7">
      <c r="B13"/>
      <c r="C13" s="28"/>
    </row>
    <row r="14" spans="2:7">
      <c r="B14" t="s">
        <v>84</v>
      </c>
      <c r="C14" s="28"/>
    </row>
    <row r="15" spans="2:7">
      <c r="B15"/>
      <c r="C15" s="28"/>
    </row>
    <row r="16" spans="2:7">
      <c r="B16" s="7" t="s">
        <v>85</v>
      </c>
      <c r="C16" s="26" t="s">
        <v>86</v>
      </c>
      <c r="D16" s="7" t="s">
        <v>87</v>
      </c>
      <c r="E16" s="26" t="s">
        <v>88</v>
      </c>
      <c r="F16" s="7" t="s">
        <v>89</v>
      </c>
      <c r="G16" s="26" t="s">
        <v>90</v>
      </c>
    </row>
    <row r="17" spans="2:9" ht="18">
      <c r="B17" s="32" t="s">
        <v>7</v>
      </c>
      <c r="C17" s="33" t="s">
        <v>8</v>
      </c>
      <c r="D17" s="32" t="s">
        <v>9</v>
      </c>
      <c r="E17" s="33" t="s">
        <v>92</v>
      </c>
      <c r="F17" s="32" t="s">
        <v>93</v>
      </c>
      <c r="G17" s="33" t="s">
        <v>91</v>
      </c>
    </row>
    <row r="18" spans="2:9">
      <c r="B18" s="19" t="s">
        <v>94</v>
      </c>
      <c r="C18" s="34">
        <v>68</v>
      </c>
      <c r="D18" s="34">
        <v>42</v>
      </c>
      <c r="E18" s="34">
        <f>C18-D18</f>
        <v>26</v>
      </c>
      <c r="F18" s="34">
        <v>0</v>
      </c>
      <c r="G18" s="35" t="s">
        <v>101</v>
      </c>
    </row>
    <row r="19" spans="2:9">
      <c r="B19" s="19" t="s">
        <v>95</v>
      </c>
      <c r="C19" s="34">
        <v>120</v>
      </c>
      <c r="D19" s="34">
        <v>35</v>
      </c>
      <c r="E19" s="34">
        <f t="shared" ref="E19:E24" si="0">C19-D19</f>
        <v>85</v>
      </c>
      <c r="F19" s="34">
        <v>5</v>
      </c>
      <c r="G19" s="27">
        <f>E19/F19</f>
        <v>17</v>
      </c>
    </row>
    <row r="20" spans="2:9">
      <c r="B20" s="9" t="s">
        <v>96</v>
      </c>
      <c r="C20" s="34">
        <v>343</v>
      </c>
      <c r="D20" s="34">
        <v>134</v>
      </c>
      <c r="E20" s="34">
        <f t="shared" si="0"/>
        <v>209</v>
      </c>
      <c r="F20" s="34">
        <v>15</v>
      </c>
      <c r="G20" s="27">
        <f t="shared" ref="G20:G24" si="1">E20/F20</f>
        <v>13.933333333333334</v>
      </c>
    </row>
    <row r="21" spans="2:9">
      <c r="B21" s="19" t="s">
        <v>97</v>
      </c>
      <c r="C21" s="34">
        <v>254</v>
      </c>
      <c r="D21" s="34">
        <v>71</v>
      </c>
      <c r="E21" s="34">
        <f t="shared" si="0"/>
        <v>183</v>
      </c>
      <c r="F21" s="34">
        <v>15</v>
      </c>
      <c r="G21" s="27">
        <f t="shared" si="1"/>
        <v>12.2</v>
      </c>
    </row>
    <row r="22" spans="2:9">
      <c r="B22" s="19" t="s">
        <v>98</v>
      </c>
      <c r="C22" s="34">
        <v>147</v>
      </c>
      <c r="D22" s="34">
        <v>56</v>
      </c>
      <c r="E22" s="34">
        <f t="shared" si="0"/>
        <v>91</v>
      </c>
      <c r="F22" s="34">
        <v>8</v>
      </c>
      <c r="G22" s="27">
        <f t="shared" si="1"/>
        <v>11.375</v>
      </c>
    </row>
    <row r="23" spans="2:9">
      <c r="B23" s="19" t="s">
        <v>99</v>
      </c>
      <c r="C23" s="34">
        <v>35</v>
      </c>
      <c r="D23" s="34">
        <v>4</v>
      </c>
      <c r="E23" s="34">
        <f t="shared" si="0"/>
        <v>31</v>
      </c>
      <c r="F23" s="34">
        <v>3</v>
      </c>
      <c r="G23" s="27">
        <f t="shared" si="1"/>
        <v>10.333333333333334</v>
      </c>
    </row>
    <row r="24" spans="2:9">
      <c r="B24" s="9" t="s">
        <v>100</v>
      </c>
      <c r="C24" s="34">
        <v>97</v>
      </c>
      <c r="D24" s="34">
        <v>42</v>
      </c>
      <c r="E24" s="34">
        <f t="shared" si="0"/>
        <v>55</v>
      </c>
      <c r="F24" s="34">
        <v>7</v>
      </c>
      <c r="G24" s="27">
        <f t="shared" si="1"/>
        <v>7.8571428571428568</v>
      </c>
    </row>
    <row r="26" spans="2:9">
      <c r="B26" s="28" t="s">
        <v>122</v>
      </c>
    </row>
    <row r="27" spans="2:9">
      <c r="B27" t="s">
        <v>109</v>
      </c>
      <c r="C27"/>
      <c r="D27"/>
      <c r="E27"/>
      <c r="F27"/>
      <c r="G27"/>
      <c r="H27"/>
      <c r="I27"/>
    </row>
    <row r="28" spans="2:9">
      <c r="B28" t="s">
        <v>110</v>
      </c>
      <c r="C28" s="38">
        <f>22*8*60*0.95</f>
        <v>10032</v>
      </c>
      <c r="E28" t="s">
        <v>111</v>
      </c>
      <c r="F28"/>
      <c r="G28" s="39">
        <f>SUMPRODUCT(F18:F24,C32:C38)/C28</f>
        <v>0.95594098883572565</v>
      </c>
      <c r="H28"/>
      <c r="I28"/>
    </row>
    <row r="29" spans="2:9">
      <c r="B29"/>
      <c r="C29"/>
      <c r="D29"/>
      <c r="E29"/>
      <c r="F29"/>
      <c r="G29"/>
      <c r="H29"/>
      <c r="I29"/>
    </row>
    <row r="30" spans="2:9">
      <c r="B30" s="7" t="s">
        <v>102</v>
      </c>
      <c r="C30" s="26" t="s">
        <v>103</v>
      </c>
      <c r="D30" s="7" t="s">
        <v>104</v>
      </c>
      <c r="E30" s="26" t="s">
        <v>105</v>
      </c>
      <c r="F30" s="7" t="s">
        <v>106</v>
      </c>
      <c r="G30" s="7" t="s">
        <v>107</v>
      </c>
      <c r="H30" s="7" t="s">
        <v>112</v>
      </c>
      <c r="I30" s="26" t="s">
        <v>113</v>
      </c>
    </row>
    <row r="31" spans="2:9" ht="45">
      <c r="B31" s="10" t="s">
        <v>7</v>
      </c>
      <c r="C31" s="31" t="s">
        <v>10</v>
      </c>
      <c r="D31" s="10" t="s">
        <v>108</v>
      </c>
      <c r="E31" s="31" t="s">
        <v>11</v>
      </c>
      <c r="F31" s="79" t="s">
        <v>12</v>
      </c>
      <c r="G31" s="80"/>
      <c r="H31" s="79" t="s">
        <v>13</v>
      </c>
      <c r="I31" s="80"/>
    </row>
    <row r="32" spans="2:9">
      <c r="B32" s="19" t="s">
        <v>94</v>
      </c>
      <c r="C32" s="34">
        <v>660</v>
      </c>
      <c r="D32" s="34">
        <f>IF(F18&gt;0,IF(F32&lt;1,MIN(C32,$C$28/F18),0),C32)</f>
        <v>660</v>
      </c>
      <c r="E32" s="34">
        <f>D32</f>
        <v>660</v>
      </c>
      <c r="F32" s="36">
        <v>0</v>
      </c>
      <c r="G32" s="37">
        <v>0</v>
      </c>
      <c r="H32" s="20">
        <f t="shared" ref="H32:I38" si="2">D32*$E18</f>
        <v>17160</v>
      </c>
      <c r="I32" s="20">
        <f t="shared" si="2"/>
        <v>17160</v>
      </c>
    </row>
    <row r="33" spans="2:9">
      <c r="B33" s="19" t="s">
        <v>95</v>
      </c>
      <c r="C33" s="34">
        <v>420</v>
      </c>
      <c r="D33" s="34">
        <f t="shared" ref="D33:D38" si="3">FLOOR(IF(F19&gt;0,IF(F32&lt;1,MIN(C33,$C$28*(1-F32)/F19),0),C33),1)</f>
        <v>420</v>
      </c>
      <c r="E33" s="34">
        <f t="shared" ref="E33:E35" si="4">D33</f>
        <v>420</v>
      </c>
      <c r="F33" s="36">
        <f t="shared" ref="F33:F38" si="5">D33*F19/$C$28+F32</f>
        <v>0.20933014354066987</v>
      </c>
      <c r="G33" s="36">
        <f t="shared" ref="G33:G38" si="6">E33*F19/$C$28+G32</f>
        <v>0.20933014354066987</v>
      </c>
      <c r="H33" s="20">
        <f t="shared" si="2"/>
        <v>35700</v>
      </c>
      <c r="I33" s="20">
        <f t="shared" si="2"/>
        <v>35700</v>
      </c>
    </row>
    <row r="34" spans="2:9">
      <c r="B34" s="9" t="s">
        <v>96</v>
      </c>
      <c r="C34" s="34">
        <v>110</v>
      </c>
      <c r="D34" s="34">
        <f t="shared" si="3"/>
        <v>110</v>
      </c>
      <c r="E34" s="34">
        <f t="shared" si="4"/>
        <v>110</v>
      </c>
      <c r="F34" s="36">
        <f t="shared" si="5"/>
        <v>0.37380382775119619</v>
      </c>
      <c r="G34" s="36">
        <f t="shared" si="6"/>
        <v>0.37380382775119619</v>
      </c>
      <c r="H34" s="20">
        <f t="shared" si="2"/>
        <v>22990</v>
      </c>
      <c r="I34" s="20">
        <f t="shared" si="2"/>
        <v>22990</v>
      </c>
    </row>
    <row r="35" spans="2:9">
      <c r="B35" s="19" t="s">
        <v>97</v>
      </c>
      <c r="C35" s="34">
        <v>250</v>
      </c>
      <c r="D35" s="34">
        <f t="shared" si="3"/>
        <v>250</v>
      </c>
      <c r="E35" s="34">
        <f t="shared" si="4"/>
        <v>250</v>
      </c>
      <c r="F35" s="36">
        <f t="shared" si="5"/>
        <v>0.74760765550239239</v>
      </c>
      <c r="G35" s="36">
        <f t="shared" si="6"/>
        <v>0.74760765550239239</v>
      </c>
      <c r="H35" s="20">
        <f t="shared" si="2"/>
        <v>45750</v>
      </c>
      <c r="I35" s="20">
        <f t="shared" si="2"/>
        <v>45750</v>
      </c>
    </row>
    <row r="36" spans="2:9">
      <c r="B36" s="19" t="s">
        <v>98</v>
      </c>
      <c r="C36" s="34">
        <v>0</v>
      </c>
      <c r="D36" s="34">
        <f t="shared" si="3"/>
        <v>0</v>
      </c>
      <c r="E36" s="34">
        <v>0</v>
      </c>
      <c r="F36" s="36">
        <f t="shared" si="5"/>
        <v>0.74760765550239239</v>
      </c>
      <c r="G36" s="36">
        <f t="shared" si="6"/>
        <v>0.74760765550239239</v>
      </c>
      <c r="H36" s="20">
        <f t="shared" si="2"/>
        <v>0</v>
      </c>
      <c r="I36" s="20">
        <f t="shared" si="2"/>
        <v>0</v>
      </c>
    </row>
    <row r="37" spans="2:9">
      <c r="B37" s="19" t="s">
        <v>99</v>
      </c>
      <c r="C37" s="34">
        <v>300</v>
      </c>
      <c r="D37" s="34">
        <f t="shared" si="3"/>
        <v>300</v>
      </c>
      <c r="E37" s="34">
        <v>300</v>
      </c>
      <c r="F37" s="36">
        <f t="shared" si="5"/>
        <v>0.83732057416267947</v>
      </c>
      <c r="G37" s="36">
        <f t="shared" si="6"/>
        <v>0.83732057416267947</v>
      </c>
      <c r="H37" s="20">
        <f t="shared" si="2"/>
        <v>9300</v>
      </c>
      <c r="I37" s="20">
        <f t="shared" si="2"/>
        <v>9300</v>
      </c>
    </row>
    <row r="38" spans="2:9">
      <c r="B38" s="9" t="s">
        <v>100</v>
      </c>
      <c r="C38" s="34">
        <v>170</v>
      </c>
      <c r="D38" s="34">
        <f t="shared" si="3"/>
        <v>170</v>
      </c>
      <c r="E38" s="34">
        <f>C38</f>
        <v>170</v>
      </c>
      <c r="F38" s="36">
        <f t="shared" si="5"/>
        <v>0.95594098883572576</v>
      </c>
      <c r="G38" s="36">
        <f t="shared" si="6"/>
        <v>0.95594098883572576</v>
      </c>
      <c r="H38" s="20">
        <f t="shared" si="2"/>
        <v>9350</v>
      </c>
      <c r="I38" s="20">
        <f t="shared" si="2"/>
        <v>9350</v>
      </c>
    </row>
    <row r="40" spans="2:9">
      <c r="G40" s="40" t="s">
        <v>14</v>
      </c>
      <c r="H40" s="41">
        <f>SUM(H32:H39)</f>
        <v>140250</v>
      </c>
      <c r="I40" s="41">
        <f>SUM(I32:I39)</f>
        <v>140250</v>
      </c>
    </row>
    <row r="41" spans="2:9">
      <c r="C41" s="43" t="s">
        <v>119</v>
      </c>
      <c r="D41" s="47">
        <v>0</v>
      </c>
      <c r="G41" s="40" t="s">
        <v>15</v>
      </c>
      <c r="H41" s="41">
        <f>$C$12+D41</f>
        <v>112334.99999999997</v>
      </c>
      <c r="I41" s="41">
        <f>$C$12+D41</f>
        <v>112334.99999999997</v>
      </c>
    </row>
    <row r="42" spans="2:9">
      <c r="G42" s="40" t="s">
        <v>16</v>
      </c>
      <c r="H42" s="41">
        <f>H40-H41</f>
        <v>27915.000000000029</v>
      </c>
      <c r="I42" s="41">
        <f>I40-I41</f>
        <v>27915.000000000029</v>
      </c>
    </row>
    <row r="43" spans="2:9">
      <c r="G43" s="40" t="s">
        <v>114</v>
      </c>
      <c r="I43" s="41">
        <f>H42-I42</f>
        <v>0</v>
      </c>
    </row>
    <row r="44" spans="2:9">
      <c r="G44" s="40" t="s">
        <v>121</v>
      </c>
      <c r="H44" s="41"/>
      <c r="I44" s="41">
        <f>I42-'Табл9-11'!I44</f>
        <v>-5809</v>
      </c>
    </row>
    <row r="45" spans="2:9">
      <c r="G45" s="40" t="s">
        <v>120</v>
      </c>
      <c r="H45" s="3">
        <v>0</v>
      </c>
      <c r="I45" s="3">
        <v>0</v>
      </c>
    </row>
    <row r="46" spans="2:9">
      <c r="G46" s="40" t="s">
        <v>17</v>
      </c>
      <c r="H46" s="41">
        <v>2100000</v>
      </c>
      <c r="I46" s="41">
        <f>H46</f>
        <v>2100000</v>
      </c>
    </row>
    <row r="47" spans="2:9">
      <c r="G47" s="40" t="s">
        <v>115</v>
      </c>
      <c r="H47" s="42">
        <f>H42*12/H46</f>
        <v>0.15951428571428589</v>
      </c>
      <c r="I47" s="42">
        <f>I42*12/I46</f>
        <v>0.15951428571428589</v>
      </c>
    </row>
  </sheetData>
  <mergeCells count="2">
    <mergeCell ref="F31:G31"/>
    <mergeCell ref="H31:I3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7"/>
  <sheetViews>
    <sheetView showGridLines="0" topLeftCell="A19" workbookViewId="0">
      <selection activeCell="G44" sqref="G44:G45"/>
    </sheetView>
  </sheetViews>
  <sheetFormatPr defaultRowHeight="15"/>
  <cols>
    <col min="1" max="1" width="3.7109375" style="3" customWidth="1"/>
    <col min="2" max="2" width="23.85546875" style="3" customWidth="1"/>
    <col min="3" max="3" width="10.140625" style="25" customWidth="1"/>
    <col min="4" max="4" width="22" style="3" customWidth="1"/>
    <col min="5" max="5" width="13.28515625" style="3" customWidth="1"/>
    <col min="6" max="6" width="11.140625" style="3" customWidth="1"/>
    <col min="7" max="7" width="11.28515625" style="3" customWidth="1"/>
    <col min="8" max="8" width="10.5703125" style="3" customWidth="1"/>
    <col min="9" max="9" width="12" style="3" customWidth="1"/>
    <col min="10" max="10" width="3.7109375" style="3" customWidth="1"/>
    <col min="11" max="16384" width="9.140625" style="3"/>
  </cols>
  <sheetData>
    <row r="1" spans="2:3">
      <c r="B1" s="28" t="s">
        <v>123</v>
      </c>
    </row>
    <row r="2" spans="2:3">
      <c r="B2" s="28"/>
    </row>
    <row r="3" spans="2:3" s="46" customFormat="1" ht="20.25" customHeight="1">
      <c r="B3" s="44" t="s">
        <v>15</v>
      </c>
      <c r="C3" s="45" t="s">
        <v>83</v>
      </c>
    </row>
    <row r="4" spans="2:3">
      <c r="B4" s="8" t="s">
        <v>79</v>
      </c>
      <c r="C4" s="26" t="s">
        <v>6</v>
      </c>
    </row>
    <row r="5" spans="2:3">
      <c r="B5" s="19" t="s">
        <v>80</v>
      </c>
      <c r="C5" s="27">
        <v>68523.03</v>
      </c>
    </row>
    <row r="6" spans="2:3">
      <c r="B6" s="19" t="s">
        <v>1</v>
      </c>
      <c r="C6" s="27">
        <v>2345.75</v>
      </c>
    </row>
    <row r="7" spans="2:3">
      <c r="B7" s="19" t="s">
        <v>0</v>
      </c>
      <c r="C7" s="27">
        <v>8935.67</v>
      </c>
    </row>
    <row r="8" spans="2:3">
      <c r="B8" s="9" t="s">
        <v>2</v>
      </c>
      <c r="C8" s="27">
        <v>7851.32</v>
      </c>
    </row>
    <row r="9" spans="2:3">
      <c r="B9" s="19" t="s">
        <v>81</v>
      </c>
      <c r="C9" s="27">
        <v>2978.73</v>
      </c>
    </row>
    <row r="10" spans="2:3">
      <c r="B10" s="19" t="s">
        <v>3</v>
      </c>
      <c r="C10" s="27">
        <v>6464.26</v>
      </c>
    </row>
    <row r="11" spans="2:3">
      <c r="B11" s="19" t="s">
        <v>4</v>
      </c>
      <c r="C11" s="27">
        <v>4766.68</v>
      </c>
    </row>
    <row r="12" spans="2:3">
      <c r="B12" s="9" t="s">
        <v>82</v>
      </c>
      <c r="C12" s="27">
        <v>10469.56</v>
      </c>
    </row>
    <row r="13" spans="2:3">
      <c r="B13" s="19" t="s">
        <v>5</v>
      </c>
      <c r="C13" s="27">
        <f>SUM(C5:C12)</f>
        <v>112334.99999999997</v>
      </c>
    </row>
    <row r="14" spans="2:3">
      <c r="B14"/>
      <c r="C14" s="28"/>
    </row>
    <row r="15" spans="2:3">
      <c r="B15" t="s">
        <v>84</v>
      </c>
      <c r="C15" s="28"/>
    </row>
    <row r="16" spans="2:3" ht="6" customHeight="1">
      <c r="B16"/>
      <c r="C16" s="28"/>
    </row>
    <row r="17" spans="2:9">
      <c r="B17" s="7" t="s">
        <v>85</v>
      </c>
      <c r="C17" s="26" t="s">
        <v>86</v>
      </c>
      <c r="D17" s="7" t="s">
        <v>87</v>
      </c>
      <c r="E17" s="26" t="s">
        <v>88</v>
      </c>
      <c r="F17" s="7" t="s">
        <v>89</v>
      </c>
      <c r="G17" s="26" t="s">
        <v>90</v>
      </c>
    </row>
    <row r="18" spans="2:9" s="48" customFormat="1" ht="45">
      <c r="B18" s="10" t="s">
        <v>7</v>
      </c>
      <c r="C18" s="31" t="s">
        <v>8</v>
      </c>
      <c r="D18" s="10" t="s">
        <v>9</v>
      </c>
      <c r="E18" s="31" t="s">
        <v>92</v>
      </c>
      <c r="F18" s="10" t="s">
        <v>93</v>
      </c>
      <c r="G18" s="31" t="s">
        <v>124</v>
      </c>
    </row>
    <row r="19" spans="2:9">
      <c r="B19" s="19" t="s">
        <v>94</v>
      </c>
      <c r="C19" s="34">
        <v>68</v>
      </c>
      <c r="D19" s="34">
        <v>42</v>
      </c>
      <c r="E19" s="34">
        <f t="shared" ref="E19:E25" si="0">C19-D19</f>
        <v>26</v>
      </c>
      <c r="F19" s="34">
        <v>0</v>
      </c>
      <c r="G19" s="35" t="s">
        <v>101</v>
      </c>
    </row>
    <row r="20" spans="2:9">
      <c r="B20" s="19" t="s">
        <v>95</v>
      </c>
      <c r="C20" s="34">
        <v>120</v>
      </c>
      <c r="D20" s="34">
        <v>35</v>
      </c>
      <c r="E20" s="34">
        <f t="shared" si="0"/>
        <v>85</v>
      </c>
      <c r="F20" s="34">
        <v>5</v>
      </c>
      <c r="G20" s="27">
        <f t="shared" ref="G20:G25" si="1">E20/F20</f>
        <v>17</v>
      </c>
    </row>
    <row r="21" spans="2:9">
      <c r="B21" s="9" t="s">
        <v>96</v>
      </c>
      <c r="C21" s="34">
        <v>343</v>
      </c>
      <c r="D21" s="34">
        <v>134</v>
      </c>
      <c r="E21" s="34">
        <f t="shared" si="0"/>
        <v>209</v>
      </c>
      <c r="F21" s="34">
        <v>15</v>
      </c>
      <c r="G21" s="27">
        <f t="shared" si="1"/>
        <v>13.933333333333334</v>
      </c>
    </row>
    <row r="22" spans="2:9">
      <c r="B22" s="19" t="s">
        <v>97</v>
      </c>
      <c r="C22" s="34">
        <v>254</v>
      </c>
      <c r="D22" s="34">
        <v>71</v>
      </c>
      <c r="E22" s="34">
        <f t="shared" si="0"/>
        <v>183</v>
      </c>
      <c r="F22" s="34">
        <v>15</v>
      </c>
      <c r="G22" s="27">
        <f t="shared" si="1"/>
        <v>12.2</v>
      </c>
    </row>
    <row r="23" spans="2:9">
      <c r="B23" s="19" t="s">
        <v>99</v>
      </c>
      <c r="C23" s="34">
        <v>35</v>
      </c>
      <c r="D23" s="34">
        <v>4</v>
      </c>
      <c r="E23" s="34">
        <f t="shared" si="0"/>
        <v>31</v>
      </c>
      <c r="F23" s="34">
        <v>3</v>
      </c>
      <c r="G23" s="27">
        <f t="shared" si="1"/>
        <v>10.333333333333334</v>
      </c>
    </row>
    <row r="24" spans="2:9">
      <c r="B24" s="9" t="s">
        <v>100</v>
      </c>
      <c r="C24" s="34">
        <v>97</v>
      </c>
      <c r="D24" s="34">
        <v>42</v>
      </c>
      <c r="E24" s="34">
        <f t="shared" si="0"/>
        <v>55</v>
      </c>
      <c r="F24" s="34">
        <v>7</v>
      </c>
      <c r="G24" s="27">
        <f t="shared" si="1"/>
        <v>7.8571428571428568</v>
      </c>
    </row>
    <row r="25" spans="2:9">
      <c r="B25" s="19" t="s">
        <v>98</v>
      </c>
      <c r="C25" s="34">
        <f>ROUND(147*0.8,0)</f>
        <v>118</v>
      </c>
      <c r="D25" s="34">
        <v>56</v>
      </c>
      <c r="E25" s="34">
        <f t="shared" si="0"/>
        <v>62</v>
      </c>
      <c r="F25" s="34">
        <v>8</v>
      </c>
      <c r="G25" s="27">
        <f t="shared" si="1"/>
        <v>7.75</v>
      </c>
    </row>
    <row r="27" spans="2:9">
      <c r="B27" t="s">
        <v>109</v>
      </c>
      <c r="C27"/>
      <c r="D27"/>
      <c r="E27"/>
      <c r="F27"/>
      <c r="G27"/>
      <c r="H27"/>
      <c r="I27"/>
    </row>
    <row r="28" spans="2:9">
      <c r="B28" t="s">
        <v>110</v>
      </c>
      <c r="C28" s="38">
        <f>22*8*60*0.95</f>
        <v>10032</v>
      </c>
      <c r="E28" t="s">
        <v>111</v>
      </c>
      <c r="F28"/>
      <c r="G28" s="39">
        <f>SUMPRODUCT(F19:F25,C32:C38)/C28</f>
        <v>1.1712519936204147</v>
      </c>
      <c r="H28"/>
      <c r="I28"/>
    </row>
    <row r="29" spans="2:9" ht="6.75" customHeight="1">
      <c r="B29"/>
      <c r="C29"/>
      <c r="D29"/>
      <c r="E29"/>
      <c r="F29"/>
      <c r="G29"/>
      <c r="H29"/>
      <c r="I29"/>
    </row>
    <row r="30" spans="2:9">
      <c r="B30" s="7" t="s">
        <v>102</v>
      </c>
      <c r="C30" s="26" t="s">
        <v>103</v>
      </c>
      <c r="D30" s="7" t="s">
        <v>104</v>
      </c>
      <c r="E30" s="26" t="s">
        <v>105</v>
      </c>
      <c r="F30" s="7" t="s">
        <v>106</v>
      </c>
      <c r="G30" s="7" t="s">
        <v>107</v>
      </c>
      <c r="H30" s="7" t="s">
        <v>112</v>
      </c>
      <c r="I30" s="26" t="s">
        <v>113</v>
      </c>
    </row>
    <row r="31" spans="2:9" ht="45">
      <c r="B31" s="10" t="s">
        <v>7</v>
      </c>
      <c r="C31" s="31" t="s">
        <v>10</v>
      </c>
      <c r="D31" s="10" t="s">
        <v>108</v>
      </c>
      <c r="E31" s="31" t="s">
        <v>11</v>
      </c>
      <c r="F31" s="79" t="s">
        <v>12</v>
      </c>
      <c r="G31" s="80"/>
      <c r="H31" s="79" t="s">
        <v>13</v>
      </c>
      <c r="I31" s="80"/>
    </row>
    <row r="32" spans="2:9">
      <c r="B32" s="19" t="s">
        <v>94</v>
      </c>
      <c r="C32" s="34">
        <v>660</v>
      </c>
      <c r="D32" s="34">
        <f>IF(F19&gt;0,IF(F32&lt;1,MIN(C32,$C$28/F19),0),C32)</f>
        <v>660</v>
      </c>
      <c r="E32" s="34">
        <f>D32</f>
        <v>660</v>
      </c>
      <c r="F32" s="36">
        <v>0</v>
      </c>
      <c r="G32" s="37">
        <v>0</v>
      </c>
      <c r="H32" s="20">
        <f t="shared" ref="H32:I38" si="2">D32*$E19</f>
        <v>17160</v>
      </c>
      <c r="I32" s="20">
        <f t="shared" si="2"/>
        <v>17160</v>
      </c>
    </row>
    <row r="33" spans="2:9">
      <c r="B33" s="19" t="s">
        <v>95</v>
      </c>
      <c r="C33" s="34">
        <v>420</v>
      </c>
      <c r="D33" s="34">
        <f t="shared" ref="D33:D38" si="3">FLOOR(IF(F20&gt;0,IF(F32&lt;1,MIN(C33,$C$28*(1-F32)/F20),0),C33),1)</f>
        <v>420</v>
      </c>
      <c r="E33" s="34">
        <f t="shared" ref="E33:E34" si="4">D33</f>
        <v>420</v>
      </c>
      <c r="F33" s="36">
        <f t="shared" ref="F33:F38" si="5">D33*F20/$C$28+F32</f>
        <v>0.20933014354066987</v>
      </c>
      <c r="G33" s="36">
        <f t="shared" ref="G33:G38" si="6">E33*F20/$C$28+G32</f>
        <v>0.20933014354066987</v>
      </c>
      <c r="H33" s="20">
        <f t="shared" si="2"/>
        <v>35700</v>
      </c>
      <c r="I33" s="20">
        <f t="shared" si="2"/>
        <v>35700</v>
      </c>
    </row>
    <row r="34" spans="2:9">
      <c r="B34" s="9" t="s">
        <v>96</v>
      </c>
      <c r="C34" s="34">
        <v>110</v>
      </c>
      <c r="D34" s="34">
        <f t="shared" si="3"/>
        <v>110</v>
      </c>
      <c r="E34" s="34">
        <f t="shared" si="4"/>
        <v>110</v>
      </c>
      <c r="F34" s="36">
        <f t="shared" si="5"/>
        <v>0.37380382775119619</v>
      </c>
      <c r="G34" s="36">
        <f t="shared" si="6"/>
        <v>0.37380382775119619</v>
      </c>
      <c r="H34" s="20">
        <f t="shared" si="2"/>
        <v>22990</v>
      </c>
      <c r="I34" s="20">
        <f t="shared" si="2"/>
        <v>22990</v>
      </c>
    </row>
    <row r="35" spans="2:9">
      <c r="B35" s="19" t="s">
        <v>97</v>
      </c>
      <c r="C35" s="34">
        <v>250</v>
      </c>
      <c r="D35" s="34">
        <f t="shared" si="3"/>
        <v>250</v>
      </c>
      <c r="E35" s="34">
        <v>185</v>
      </c>
      <c r="F35" s="36">
        <f t="shared" si="5"/>
        <v>0.74760765550239239</v>
      </c>
      <c r="G35" s="36">
        <f t="shared" si="6"/>
        <v>0.6504186602870814</v>
      </c>
      <c r="H35" s="20">
        <f t="shared" si="2"/>
        <v>45750</v>
      </c>
      <c r="I35" s="20">
        <f t="shared" si="2"/>
        <v>33855</v>
      </c>
    </row>
    <row r="36" spans="2:9">
      <c r="B36" s="19" t="s">
        <v>99</v>
      </c>
      <c r="C36" s="34">
        <v>300</v>
      </c>
      <c r="D36" s="34">
        <f t="shared" si="3"/>
        <v>300</v>
      </c>
      <c r="E36" s="34">
        <v>51</v>
      </c>
      <c r="F36" s="36">
        <f t="shared" si="5"/>
        <v>0.83732057416267947</v>
      </c>
      <c r="G36" s="36">
        <f t="shared" si="6"/>
        <v>0.66566985645933019</v>
      </c>
      <c r="H36" s="20">
        <f t="shared" si="2"/>
        <v>9300</v>
      </c>
      <c r="I36" s="20">
        <f t="shared" si="2"/>
        <v>1581</v>
      </c>
    </row>
    <row r="37" spans="2:9">
      <c r="B37" s="9" t="s">
        <v>100</v>
      </c>
      <c r="C37" s="34">
        <v>170</v>
      </c>
      <c r="D37" s="34">
        <f t="shared" si="3"/>
        <v>170</v>
      </c>
      <c r="E37" s="34">
        <v>170</v>
      </c>
      <c r="F37" s="36">
        <f t="shared" si="5"/>
        <v>0.95594098883572576</v>
      </c>
      <c r="G37" s="36">
        <f t="shared" si="6"/>
        <v>0.78429027113237648</v>
      </c>
      <c r="H37" s="20">
        <f t="shared" si="2"/>
        <v>9350</v>
      </c>
      <c r="I37" s="20">
        <f t="shared" si="2"/>
        <v>9350</v>
      </c>
    </row>
    <row r="38" spans="2:9">
      <c r="B38" s="9" t="s">
        <v>98</v>
      </c>
      <c r="C38" s="34">
        <f>200*135%</f>
        <v>270</v>
      </c>
      <c r="D38" s="34">
        <f t="shared" si="3"/>
        <v>55</v>
      </c>
      <c r="E38" s="34">
        <f>C38</f>
        <v>270</v>
      </c>
      <c r="F38" s="36">
        <f t="shared" si="5"/>
        <v>0.9998006379585328</v>
      </c>
      <c r="G38" s="36">
        <f t="shared" si="6"/>
        <v>0.99960127591706549</v>
      </c>
      <c r="H38" s="20">
        <f t="shared" si="2"/>
        <v>3410</v>
      </c>
      <c r="I38" s="20">
        <f t="shared" si="2"/>
        <v>16740</v>
      </c>
    </row>
    <row r="40" spans="2:9">
      <c r="G40" s="40" t="s">
        <v>14</v>
      </c>
      <c r="H40" s="41">
        <f>SUM(H32:H39)</f>
        <v>143660</v>
      </c>
      <c r="I40" s="41">
        <f>SUM(I32:I39)</f>
        <v>137376</v>
      </c>
    </row>
    <row r="41" spans="2:9">
      <c r="C41" s="43" t="s">
        <v>119</v>
      </c>
      <c r="D41" s="47">
        <v>0</v>
      </c>
      <c r="G41" s="40" t="s">
        <v>15</v>
      </c>
      <c r="H41" s="41">
        <f>$C$13+D41</f>
        <v>112334.99999999997</v>
      </c>
      <c r="I41" s="41">
        <f>$C$13+D41</f>
        <v>112334.99999999997</v>
      </c>
    </row>
    <row r="42" spans="2:9">
      <c r="G42" s="40" t="s">
        <v>16</v>
      </c>
      <c r="H42" s="41">
        <f>H40-H41</f>
        <v>31325.000000000029</v>
      </c>
      <c r="I42" s="41">
        <f>I40-I41</f>
        <v>25041.000000000029</v>
      </c>
    </row>
    <row r="43" spans="2:9">
      <c r="G43" s="40" t="s">
        <v>114</v>
      </c>
      <c r="I43" s="41">
        <f>H42-I42</f>
        <v>6284</v>
      </c>
    </row>
    <row r="44" spans="2:9">
      <c r="G44" s="40" t="s">
        <v>125</v>
      </c>
      <c r="H44" s="41"/>
      <c r="I44" s="41">
        <f>I42-Табл13!I42</f>
        <v>-2874</v>
      </c>
    </row>
    <row r="45" spans="2:9">
      <c r="G45" s="40" t="s">
        <v>120</v>
      </c>
      <c r="H45" s="3">
        <v>0</v>
      </c>
      <c r="I45" s="3">
        <v>0</v>
      </c>
    </row>
    <row r="46" spans="2:9">
      <c r="G46" s="40" t="s">
        <v>17</v>
      </c>
      <c r="H46" s="41">
        <v>2100000</v>
      </c>
      <c r="I46" s="41">
        <f>H46</f>
        <v>2100000</v>
      </c>
    </row>
    <row r="47" spans="2:9">
      <c r="G47" s="40" t="s">
        <v>115</v>
      </c>
      <c r="H47" s="42">
        <f>H42*12/H46</f>
        <v>0.17900000000000016</v>
      </c>
      <c r="I47" s="42">
        <f>I42*12/I46</f>
        <v>0.14309142857142873</v>
      </c>
    </row>
  </sheetData>
  <sortState ref="B18:G24">
    <sortCondition descending="1" ref="G18:G24"/>
  </sortState>
  <mergeCells count="2">
    <mergeCell ref="F31:G31"/>
    <mergeCell ref="H31:I3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5"/>
  <sheetViews>
    <sheetView showGridLines="0" topLeftCell="A19" workbookViewId="0">
      <selection activeCell="B27" sqref="B27:I45"/>
    </sheetView>
  </sheetViews>
  <sheetFormatPr defaultRowHeight="15"/>
  <cols>
    <col min="1" max="1" width="3.7109375" style="3" customWidth="1"/>
    <col min="2" max="2" width="23.85546875" style="3" customWidth="1"/>
    <col min="3" max="3" width="10.140625" style="25" customWidth="1"/>
    <col min="4" max="4" width="22" style="3" customWidth="1"/>
    <col min="5" max="5" width="13.28515625" style="3" customWidth="1"/>
    <col min="6" max="6" width="11.140625" style="3" customWidth="1"/>
    <col min="7" max="7" width="11.28515625" style="3" customWidth="1"/>
    <col min="8" max="8" width="10.5703125" style="3" customWidth="1"/>
    <col min="9" max="9" width="12" style="3" customWidth="1"/>
    <col min="10" max="10" width="3.7109375" style="3" customWidth="1"/>
    <col min="11" max="16384" width="9.140625" style="3"/>
  </cols>
  <sheetData>
    <row r="2" spans="2:7">
      <c r="B2" s="29" t="s">
        <v>15</v>
      </c>
      <c r="C2" s="30" t="s">
        <v>83</v>
      </c>
    </row>
    <row r="3" spans="2:7">
      <c r="B3" s="8" t="s">
        <v>79</v>
      </c>
      <c r="C3" s="26" t="s">
        <v>6</v>
      </c>
    </row>
    <row r="4" spans="2:7">
      <c r="B4" s="19" t="s">
        <v>80</v>
      </c>
      <c r="C4" s="27">
        <v>68523.03</v>
      </c>
    </row>
    <row r="5" spans="2:7">
      <c r="B5" s="19" t="s">
        <v>1</v>
      </c>
      <c r="C5" s="27">
        <v>2345.75</v>
      </c>
    </row>
    <row r="6" spans="2:7">
      <c r="B6" s="19" t="s">
        <v>0</v>
      </c>
      <c r="C6" s="27">
        <v>8935.67</v>
      </c>
    </row>
    <row r="7" spans="2:7">
      <c r="B7" s="9" t="s">
        <v>2</v>
      </c>
      <c r="C7" s="27">
        <v>7851.32</v>
      </c>
    </row>
    <row r="8" spans="2:7">
      <c r="B8" s="19" t="s">
        <v>81</v>
      </c>
      <c r="C8" s="27">
        <v>2978.73</v>
      </c>
    </row>
    <row r="9" spans="2:7">
      <c r="B9" s="19" t="s">
        <v>3</v>
      </c>
      <c r="C9" s="27">
        <v>6464.26</v>
      </c>
    </row>
    <row r="10" spans="2:7">
      <c r="B10" s="19" t="s">
        <v>4</v>
      </c>
      <c r="C10" s="27">
        <v>4766.68</v>
      </c>
    </row>
    <row r="11" spans="2:7">
      <c r="B11" s="9" t="s">
        <v>82</v>
      </c>
      <c r="C11" s="27">
        <v>10469.56</v>
      </c>
    </row>
    <row r="12" spans="2:7">
      <c r="B12" s="19" t="s">
        <v>5</v>
      </c>
      <c r="C12" s="27">
        <f>SUM(C4:C11)</f>
        <v>112334.99999999997</v>
      </c>
    </row>
    <row r="13" spans="2:7">
      <c r="B13"/>
      <c r="C13" s="28"/>
    </row>
    <row r="14" spans="2:7">
      <c r="B14" t="s">
        <v>84</v>
      </c>
      <c r="C14" s="28"/>
    </row>
    <row r="15" spans="2:7">
      <c r="B15"/>
      <c r="C15" s="28"/>
    </row>
    <row r="16" spans="2:7">
      <c r="B16" s="7" t="s">
        <v>85</v>
      </c>
      <c r="C16" s="26" t="s">
        <v>86</v>
      </c>
      <c r="D16" s="7" t="s">
        <v>87</v>
      </c>
      <c r="E16" s="26" t="s">
        <v>88</v>
      </c>
      <c r="F16" s="7" t="s">
        <v>89</v>
      </c>
      <c r="G16" s="26" t="s">
        <v>90</v>
      </c>
    </row>
    <row r="17" spans="2:9" ht="18">
      <c r="B17" s="32" t="s">
        <v>7</v>
      </c>
      <c r="C17" s="33" t="s">
        <v>8</v>
      </c>
      <c r="D17" s="32" t="s">
        <v>9</v>
      </c>
      <c r="E17" s="33" t="s">
        <v>92</v>
      </c>
      <c r="F17" s="32" t="s">
        <v>93</v>
      </c>
      <c r="G17" s="33" t="s">
        <v>91</v>
      </c>
    </row>
    <row r="18" spans="2:9">
      <c r="B18" s="19" t="s">
        <v>94</v>
      </c>
      <c r="C18" s="34">
        <v>68</v>
      </c>
      <c r="D18" s="34">
        <v>42</v>
      </c>
      <c r="E18" s="34">
        <f>C18-D18</f>
        <v>26</v>
      </c>
      <c r="F18" s="34">
        <v>0</v>
      </c>
      <c r="G18" s="35" t="s">
        <v>101</v>
      </c>
    </row>
    <row r="19" spans="2:9">
      <c r="B19" s="19" t="s">
        <v>95</v>
      </c>
      <c r="C19" s="34">
        <v>120</v>
      </c>
      <c r="D19" s="34">
        <v>35</v>
      </c>
      <c r="E19" s="34">
        <f t="shared" ref="E19:E24" si="0">C19-D19</f>
        <v>85</v>
      </c>
      <c r="F19" s="34">
        <v>5</v>
      </c>
      <c r="G19" s="27">
        <f>E19/F19</f>
        <v>17</v>
      </c>
    </row>
    <row r="20" spans="2:9">
      <c r="B20" s="9" t="s">
        <v>96</v>
      </c>
      <c r="C20" s="34">
        <v>343</v>
      </c>
      <c r="D20" s="34">
        <v>134</v>
      </c>
      <c r="E20" s="34">
        <f t="shared" si="0"/>
        <v>209</v>
      </c>
      <c r="F20" s="34">
        <v>15</v>
      </c>
      <c r="G20" s="27">
        <f t="shared" ref="G20:G24" si="1">E20/F20</f>
        <v>13.933333333333334</v>
      </c>
    </row>
    <row r="21" spans="2:9">
      <c r="B21" s="19" t="s">
        <v>97</v>
      </c>
      <c r="C21" s="34">
        <v>254</v>
      </c>
      <c r="D21" s="34">
        <v>71</v>
      </c>
      <c r="E21" s="34">
        <f t="shared" si="0"/>
        <v>183</v>
      </c>
      <c r="F21" s="34">
        <v>15</v>
      </c>
      <c r="G21" s="27">
        <f t="shared" si="1"/>
        <v>12.2</v>
      </c>
    </row>
    <row r="22" spans="2:9">
      <c r="B22" s="19" t="s">
        <v>98</v>
      </c>
      <c r="C22" s="34">
        <v>147</v>
      </c>
      <c r="D22" s="34">
        <v>56</v>
      </c>
      <c r="E22" s="34">
        <f t="shared" si="0"/>
        <v>91</v>
      </c>
      <c r="F22" s="34">
        <v>8</v>
      </c>
      <c r="G22" s="27">
        <f t="shared" si="1"/>
        <v>11.375</v>
      </c>
    </row>
    <row r="23" spans="2:9">
      <c r="B23" s="19" t="s">
        <v>99</v>
      </c>
      <c r="C23" s="34">
        <v>35</v>
      </c>
      <c r="D23" s="34">
        <v>4</v>
      </c>
      <c r="E23" s="34">
        <f t="shared" si="0"/>
        <v>31</v>
      </c>
      <c r="F23" s="34">
        <v>3</v>
      </c>
      <c r="G23" s="27">
        <f t="shared" si="1"/>
        <v>10.333333333333334</v>
      </c>
    </row>
    <row r="24" spans="2:9">
      <c r="B24" s="9" t="s">
        <v>100</v>
      </c>
      <c r="C24" s="34">
        <v>97</v>
      </c>
      <c r="D24" s="34">
        <v>42</v>
      </c>
      <c r="E24" s="34">
        <f t="shared" si="0"/>
        <v>55</v>
      </c>
      <c r="F24" s="34">
        <v>7</v>
      </c>
      <c r="G24" s="27">
        <f t="shared" si="1"/>
        <v>7.8571428571428568</v>
      </c>
    </row>
    <row r="26" spans="2:9">
      <c r="B26" s="28" t="s">
        <v>126</v>
      </c>
    </row>
    <row r="27" spans="2:9">
      <c r="B27" t="s">
        <v>109</v>
      </c>
      <c r="C27"/>
      <c r="D27"/>
      <c r="E27"/>
      <c r="F27"/>
      <c r="G27"/>
      <c r="H27"/>
      <c r="I27"/>
    </row>
    <row r="28" spans="2:9">
      <c r="B28" t="s">
        <v>110</v>
      </c>
      <c r="C28" s="38">
        <f>22*8*60*0.95</f>
        <v>10032</v>
      </c>
      <c r="E28" t="s">
        <v>111</v>
      </c>
      <c r="F28"/>
      <c r="G28" s="39">
        <f>SUMPRODUCT(F18:F24,C32:C38)/C28</f>
        <v>0.64992025518341312</v>
      </c>
      <c r="H28"/>
      <c r="I28"/>
    </row>
    <row r="29" spans="2:9">
      <c r="B29"/>
      <c r="C29"/>
      <c r="D29"/>
      <c r="E29"/>
      <c r="F29"/>
      <c r="G29"/>
      <c r="H29"/>
      <c r="I29"/>
    </row>
    <row r="30" spans="2:9">
      <c r="B30" s="7" t="s">
        <v>102</v>
      </c>
      <c r="C30" s="26" t="s">
        <v>103</v>
      </c>
      <c r="D30" s="7" t="s">
        <v>104</v>
      </c>
      <c r="E30" s="26" t="s">
        <v>105</v>
      </c>
      <c r="F30" s="7" t="s">
        <v>106</v>
      </c>
      <c r="G30" s="7" t="s">
        <v>107</v>
      </c>
      <c r="H30" s="7" t="s">
        <v>112</v>
      </c>
      <c r="I30" s="26" t="s">
        <v>113</v>
      </c>
    </row>
    <row r="31" spans="2:9" ht="45">
      <c r="B31" s="10" t="s">
        <v>7</v>
      </c>
      <c r="C31" s="31" t="s">
        <v>10</v>
      </c>
      <c r="D31" s="10" t="s">
        <v>108</v>
      </c>
      <c r="E31" s="31" t="s">
        <v>11</v>
      </c>
      <c r="F31" s="79" t="s">
        <v>12</v>
      </c>
      <c r="G31" s="80"/>
      <c r="H31" s="79" t="s">
        <v>13</v>
      </c>
      <c r="I31" s="80"/>
    </row>
    <row r="32" spans="2:9">
      <c r="B32" s="19" t="s">
        <v>94</v>
      </c>
      <c r="C32" s="34">
        <v>400</v>
      </c>
      <c r="D32" s="34">
        <f>IF(F18&gt;0,IF(F32&lt;1,MIN(C32,$C$28/F18),0),C32)</f>
        <v>400</v>
      </c>
      <c r="E32" s="34">
        <f>D32</f>
        <v>400</v>
      </c>
      <c r="F32" s="36">
        <v>0</v>
      </c>
      <c r="G32" s="37">
        <v>0</v>
      </c>
      <c r="H32" s="20">
        <f>D32*$E18</f>
        <v>10400</v>
      </c>
      <c r="I32" s="20">
        <f>E32*$E18</f>
        <v>10400</v>
      </c>
    </row>
    <row r="33" spans="2:9">
      <c r="B33" s="19" t="s">
        <v>95</v>
      </c>
      <c r="C33" s="34">
        <v>320</v>
      </c>
      <c r="D33" s="34">
        <f>FLOOR(IF(F19&gt;0,IF(F32&lt;1,MIN(C33,$C$28*(1-F32)/F19),0),C33),1)</f>
        <v>320</v>
      </c>
      <c r="E33" s="34">
        <f t="shared" ref="E33:E38" si="2">D33</f>
        <v>320</v>
      </c>
      <c r="F33" s="36">
        <f>D33*F19/$C$28+F32</f>
        <v>0.15948963317384371</v>
      </c>
      <c r="G33" s="36">
        <f>E33*F19/$C$28+G32</f>
        <v>0.15948963317384371</v>
      </c>
      <c r="H33" s="20">
        <f t="shared" ref="H33:I38" si="3">D33*$E19</f>
        <v>27200</v>
      </c>
      <c r="I33" s="20">
        <f t="shared" si="3"/>
        <v>27200</v>
      </c>
    </row>
    <row r="34" spans="2:9">
      <c r="B34" s="9" t="s">
        <v>96</v>
      </c>
      <c r="C34" s="34">
        <v>110</v>
      </c>
      <c r="D34" s="34">
        <f t="shared" ref="D34:D38" si="4">FLOOR(IF(F20&gt;0,IF(F33&lt;1,MIN(C34,$C$28*(1-F33)/F20),0),C34),1)</f>
        <v>110</v>
      </c>
      <c r="E34" s="34">
        <f t="shared" si="2"/>
        <v>110</v>
      </c>
      <c r="F34" s="36">
        <f t="shared" ref="F34:F38" si="5">D34*F20/$C$28+F33</f>
        <v>0.32396331738437001</v>
      </c>
      <c r="G34" s="36">
        <f t="shared" ref="G34:G38" si="6">E34*F20/$C$28+G33</f>
        <v>0.32396331738437001</v>
      </c>
      <c r="H34" s="20">
        <f t="shared" si="3"/>
        <v>22990</v>
      </c>
      <c r="I34" s="20">
        <f t="shared" si="3"/>
        <v>22990</v>
      </c>
    </row>
    <row r="35" spans="2:9">
      <c r="B35" s="19" t="s">
        <v>97</v>
      </c>
      <c r="C35" s="34">
        <v>50</v>
      </c>
      <c r="D35" s="34">
        <f t="shared" si="4"/>
        <v>50</v>
      </c>
      <c r="E35" s="34">
        <f t="shared" si="2"/>
        <v>50</v>
      </c>
      <c r="F35" s="36">
        <f t="shared" si="5"/>
        <v>0.39872408293460926</v>
      </c>
      <c r="G35" s="36">
        <f t="shared" si="6"/>
        <v>0.39872408293460926</v>
      </c>
      <c r="H35" s="20">
        <f t="shared" si="3"/>
        <v>9150</v>
      </c>
      <c r="I35" s="20">
        <f t="shared" si="3"/>
        <v>9150</v>
      </c>
    </row>
    <row r="36" spans="2:9">
      <c r="B36" s="19" t="s">
        <v>98</v>
      </c>
      <c r="C36" s="34">
        <v>90</v>
      </c>
      <c r="D36" s="34">
        <f t="shared" si="4"/>
        <v>90</v>
      </c>
      <c r="E36" s="34">
        <f t="shared" si="2"/>
        <v>90</v>
      </c>
      <c r="F36" s="36">
        <f t="shared" si="5"/>
        <v>0.47049441786283891</v>
      </c>
      <c r="G36" s="36">
        <f t="shared" si="6"/>
        <v>0.47049441786283891</v>
      </c>
      <c r="H36" s="20">
        <f t="shared" si="3"/>
        <v>8190</v>
      </c>
      <c r="I36" s="20">
        <f t="shared" si="3"/>
        <v>8190</v>
      </c>
    </row>
    <row r="37" spans="2:9">
      <c r="B37" s="19" t="s">
        <v>99</v>
      </c>
      <c r="C37" s="34">
        <v>250</v>
      </c>
      <c r="D37" s="34">
        <f t="shared" si="4"/>
        <v>250</v>
      </c>
      <c r="E37" s="34">
        <f t="shared" si="2"/>
        <v>250</v>
      </c>
      <c r="F37" s="36">
        <f t="shared" si="5"/>
        <v>0.5452551834130781</v>
      </c>
      <c r="G37" s="36">
        <f t="shared" si="6"/>
        <v>0.5452551834130781</v>
      </c>
      <c r="H37" s="20">
        <f t="shared" si="3"/>
        <v>7750</v>
      </c>
      <c r="I37" s="20">
        <f t="shared" si="3"/>
        <v>7750</v>
      </c>
    </row>
    <row r="38" spans="2:9">
      <c r="B38" s="9" t="s">
        <v>100</v>
      </c>
      <c r="C38" s="34">
        <v>150</v>
      </c>
      <c r="D38" s="34">
        <f t="shared" si="4"/>
        <v>150</v>
      </c>
      <c r="E38" s="34">
        <f t="shared" si="2"/>
        <v>150</v>
      </c>
      <c r="F38" s="36">
        <f t="shared" si="5"/>
        <v>0.64992025518341301</v>
      </c>
      <c r="G38" s="36">
        <f t="shared" si="6"/>
        <v>0.64992025518341301</v>
      </c>
      <c r="H38" s="20">
        <f t="shared" si="3"/>
        <v>8250</v>
      </c>
      <c r="I38" s="20">
        <f t="shared" si="3"/>
        <v>8250</v>
      </c>
    </row>
    <row r="40" spans="2:9">
      <c r="G40" s="40" t="s">
        <v>14</v>
      </c>
      <c r="H40" s="41">
        <f>SUM(H32:H39)</f>
        <v>93930</v>
      </c>
      <c r="I40" s="41">
        <f>SUM(I32:I39)</f>
        <v>93930</v>
      </c>
    </row>
    <row r="41" spans="2:9">
      <c r="G41" s="40" t="s">
        <v>15</v>
      </c>
      <c r="H41" s="41">
        <f>$C$12</f>
        <v>112334.99999999997</v>
      </c>
      <c r="I41" s="41">
        <f>$C$12</f>
        <v>112334.99999999997</v>
      </c>
    </row>
    <row r="42" spans="2:9">
      <c r="G42" s="40" t="s">
        <v>16</v>
      </c>
      <c r="H42" s="41">
        <f>H40-H41</f>
        <v>-18404.999999999971</v>
      </c>
      <c r="I42" s="41">
        <f>I40-I41</f>
        <v>-18404.999999999971</v>
      </c>
    </row>
    <row r="43" spans="2:9">
      <c r="G43" s="40" t="s">
        <v>114</v>
      </c>
      <c r="I43" s="41">
        <f>H42-I42</f>
        <v>0</v>
      </c>
    </row>
    <row r="44" spans="2:9">
      <c r="G44" s="40" t="s">
        <v>17</v>
      </c>
      <c r="H44" s="41">
        <v>2100000</v>
      </c>
      <c r="I44" s="41">
        <f>H44</f>
        <v>2100000</v>
      </c>
    </row>
    <row r="45" spans="2:9">
      <c r="G45" s="40" t="s">
        <v>115</v>
      </c>
      <c r="H45" s="42">
        <f>H42*12/H44</f>
        <v>-0.1051714285714284</v>
      </c>
      <c r="I45" s="42">
        <f>I42*12/I44</f>
        <v>-0.1051714285714284</v>
      </c>
    </row>
  </sheetData>
  <mergeCells count="2">
    <mergeCell ref="F31:G31"/>
    <mergeCell ref="H31:I3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52"/>
  <sheetViews>
    <sheetView showGridLines="0" topLeftCell="A25" workbookViewId="0">
      <selection activeCell="K54" sqref="K54"/>
    </sheetView>
  </sheetViews>
  <sheetFormatPr defaultRowHeight="15"/>
  <cols>
    <col min="1" max="1" width="3.7109375" style="3" customWidth="1"/>
    <col min="2" max="2" width="23.85546875" style="3" customWidth="1"/>
    <col min="3" max="3" width="10.140625" style="25" customWidth="1"/>
    <col min="4" max="4" width="22" style="3" customWidth="1"/>
    <col min="5" max="5" width="13.28515625" style="3" customWidth="1"/>
    <col min="6" max="6" width="11.140625" style="3" customWidth="1"/>
    <col min="7" max="7" width="11.28515625" style="3" customWidth="1"/>
    <col min="8" max="8" width="10.5703125" style="3" customWidth="1"/>
    <col min="9" max="9" width="12" style="3" customWidth="1"/>
    <col min="10" max="10" width="3.7109375" style="3" customWidth="1"/>
    <col min="11" max="16384" width="9.140625" style="3"/>
  </cols>
  <sheetData>
    <row r="2" spans="2:3">
      <c r="B2" s="29" t="s">
        <v>15</v>
      </c>
      <c r="C2" s="30" t="s">
        <v>83</v>
      </c>
    </row>
    <row r="3" spans="2:3">
      <c r="B3" s="8" t="s">
        <v>79</v>
      </c>
      <c r="C3" s="26" t="s">
        <v>6</v>
      </c>
    </row>
    <row r="4" spans="2:3">
      <c r="B4" s="19" t="s">
        <v>80</v>
      </c>
      <c r="C4" s="27">
        <v>68523.03</v>
      </c>
    </row>
    <row r="5" spans="2:3">
      <c r="B5" s="19" t="s">
        <v>1</v>
      </c>
      <c r="C5" s="27">
        <v>2345.75</v>
      </c>
    </row>
    <row r="6" spans="2:3">
      <c r="B6" s="19" t="s">
        <v>0</v>
      </c>
      <c r="C6" s="27">
        <v>8935.67</v>
      </c>
    </row>
    <row r="7" spans="2:3">
      <c r="B7" s="9" t="s">
        <v>2</v>
      </c>
      <c r="C7" s="27">
        <v>7851.32</v>
      </c>
    </row>
    <row r="8" spans="2:3">
      <c r="B8" s="19" t="s">
        <v>81</v>
      </c>
      <c r="C8" s="27">
        <v>2978.73</v>
      </c>
    </row>
    <row r="9" spans="2:3">
      <c r="B9" s="19" t="s">
        <v>3</v>
      </c>
      <c r="C9" s="27">
        <v>6464.26</v>
      </c>
    </row>
    <row r="10" spans="2:3">
      <c r="B10" s="19" t="s">
        <v>4</v>
      </c>
      <c r="C10" s="27">
        <v>4766.68</v>
      </c>
    </row>
    <row r="11" spans="2:3">
      <c r="B11" s="9" t="s">
        <v>82</v>
      </c>
      <c r="C11" s="27">
        <v>10469.56</v>
      </c>
    </row>
    <row r="12" spans="2:3">
      <c r="B12" s="19" t="s">
        <v>5</v>
      </c>
      <c r="C12" s="27">
        <f>SUM(C4:C11)</f>
        <v>112334.99999999997</v>
      </c>
    </row>
    <row r="13" spans="2:3">
      <c r="C13" s="3"/>
    </row>
    <row r="14" spans="2:3">
      <c r="B14" s="28" t="s">
        <v>127</v>
      </c>
      <c r="C14" s="28"/>
    </row>
    <row r="15" spans="2:3">
      <c r="B15" t="s">
        <v>84</v>
      </c>
      <c r="C15" s="28"/>
    </row>
    <row r="16" spans="2:3" ht="6.75" customHeight="1">
      <c r="B16"/>
      <c r="C16" s="28"/>
    </row>
    <row r="17" spans="2:9">
      <c r="B17" s="7" t="s">
        <v>85</v>
      </c>
      <c r="C17" s="26" t="s">
        <v>86</v>
      </c>
      <c r="D17" s="7" t="s">
        <v>87</v>
      </c>
      <c r="E17" s="26" t="s">
        <v>88</v>
      </c>
      <c r="F17" s="7" t="s">
        <v>89</v>
      </c>
      <c r="G17" s="26" t="s">
        <v>90</v>
      </c>
    </row>
    <row r="18" spans="2:9" ht="45">
      <c r="B18" s="32" t="s">
        <v>7</v>
      </c>
      <c r="C18" s="33" t="s">
        <v>8</v>
      </c>
      <c r="D18" s="32" t="s">
        <v>9</v>
      </c>
      <c r="E18" s="31" t="s">
        <v>92</v>
      </c>
      <c r="F18" s="10" t="s">
        <v>93</v>
      </c>
      <c r="G18" s="31" t="s">
        <v>124</v>
      </c>
    </row>
    <row r="19" spans="2:9">
      <c r="B19" s="19" t="s">
        <v>94</v>
      </c>
      <c r="C19" s="34">
        <v>68</v>
      </c>
      <c r="D19" s="34">
        <v>42</v>
      </c>
      <c r="E19" s="34">
        <f>C19-D19</f>
        <v>26</v>
      </c>
      <c r="F19" s="34">
        <v>0</v>
      </c>
      <c r="G19" s="35" t="s">
        <v>101</v>
      </c>
    </row>
    <row r="20" spans="2:9">
      <c r="B20" s="19" t="s">
        <v>95</v>
      </c>
      <c r="C20" s="34">
        <v>120</v>
      </c>
      <c r="D20" s="34">
        <v>35</v>
      </c>
      <c r="E20" s="34">
        <f t="shared" ref="E20:E27" si="0">C20-D20</f>
        <v>85</v>
      </c>
      <c r="F20" s="34">
        <v>5</v>
      </c>
      <c r="G20" s="27">
        <f>E20/F20</f>
        <v>17</v>
      </c>
    </row>
    <row r="21" spans="2:9">
      <c r="B21" s="9" t="s">
        <v>96</v>
      </c>
      <c r="C21" s="34">
        <v>343</v>
      </c>
      <c r="D21" s="34">
        <v>134</v>
      </c>
      <c r="E21" s="34">
        <f t="shared" si="0"/>
        <v>209</v>
      </c>
      <c r="F21" s="34">
        <v>15</v>
      </c>
      <c r="G21" s="27">
        <f t="shared" ref="G21:G27" si="1">E21/F21</f>
        <v>13.933333333333334</v>
      </c>
    </row>
    <row r="22" spans="2:9">
      <c r="B22" s="19" t="s">
        <v>97</v>
      </c>
      <c r="C22" s="34">
        <v>254</v>
      </c>
      <c r="D22" s="34">
        <v>71</v>
      </c>
      <c r="E22" s="34">
        <f t="shared" si="0"/>
        <v>183</v>
      </c>
      <c r="F22" s="34">
        <v>15</v>
      </c>
      <c r="G22" s="27">
        <f t="shared" si="1"/>
        <v>12.2</v>
      </c>
    </row>
    <row r="23" spans="2:9">
      <c r="B23" s="19" t="s">
        <v>98</v>
      </c>
      <c r="C23" s="34">
        <v>147</v>
      </c>
      <c r="D23" s="34">
        <v>56</v>
      </c>
      <c r="E23" s="34">
        <f t="shared" si="0"/>
        <v>91</v>
      </c>
      <c r="F23" s="34">
        <v>8</v>
      </c>
      <c r="G23" s="27">
        <f t="shared" si="1"/>
        <v>11.375</v>
      </c>
    </row>
    <row r="24" spans="2:9">
      <c r="B24" s="19" t="s">
        <v>99</v>
      </c>
      <c r="C24" s="34">
        <v>35</v>
      </c>
      <c r="D24" s="34">
        <v>4</v>
      </c>
      <c r="E24" s="34">
        <f t="shared" si="0"/>
        <v>31</v>
      </c>
      <c r="F24" s="34">
        <v>3</v>
      </c>
      <c r="G24" s="27">
        <f t="shared" si="1"/>
        <v>10.333333333333334</v>
      </c>
    </row>
    <row r="25" spans="2:9">
      <c r="B25" s="9" t="s">
        <v>100</v>
      </c>
      <c r="C25" s="34">
        <v>97</v>
      </c>
      <c r="D25" s="34">
        <v>42</v>
      </c>
      <c r="E25" s="34">
        <f t="shared" si="0"/>
        <v>55</v>
      </c>
      <c r="F25" s="34">
        <v>7</v>
      </c>
      <c r="G25" s="27">
        <f t="shared" si="1"/>
        <v>7.8571428571428568</v>
      </c>
    </row>
    <row r="26" spans="2:9">
      <c r="B26" s="19" t="s">
        <v>128</v>
      </c>
      <c r="C26" s="34">
        <v>72</v>
      </c>
      <c r="D26" s="34">
        <f>D20</f>
        <v>35</v>
      </c>
      <c r="E26" s="34">
        <f t="shared" si="0"/>
        <v>37</v>
      </c>
      <c r="F26" s="34">
        <f>F20</f>
        <v>5</v>
      </c>
      <c r="G26" s="27">
        <f t="shared" si="1"/>
        <v>7.4</v>
      </c>
    </row>
    <row r="27" spans="2:9">
      <c r="B27" s="19" t="s">
        <v>129</v>
      </c>
      <c r="C27" s="34">
        <v>176</v>
      </c>
      <c r="D27" s="34">
        <f>D22</f>
        <v>71</v>
      </c>
      <c r="E27" s="34">
        <f t="shared" si="0"/>
        <v>105</v>
      </c>
      <c r="F27" s="34">
        <f>F22</f>
        <v>15</v>
      </c>
      <c r="G27" s="27">
        <f t="shared" si="1"/>
        <v>7</v>
      </c>
    </row>
    <row r="29" spans="2:9">
      <c r="B29" s="28" t="s">
        <v>131</v>
      </c>
    </row>
    <row r="30" spans="2:9">
      <c r="B30" t="s">
        <v>109</v>
      </c>
      <c r="C30"/>
      <c r="D30"/>
      <c r="E30"/>
      <c r="F30"/>
      <c r="G30"/>
      <c r="H30"/>
      <c r="I30"/>
    </row>
    <row r="31" spans="2:9">
      <c r="B31" t="s">
        <v>110</v>
      </c>
      <c r="C31" s="38">
        <f>22*8*60*0.95</f>
        <v>10032</v>
      </c>
      <c r="E31" t="s">
        <v>111</v>
      </c>
      <c r="F31"/>
      <c r="G31" s="39">
        <f>SUMPRODUCT(F19:F27,C35:C43)/C31</f>
        <v>0.92404306220095689</v>
      </c>
      <c r="H31"/>
      <c r="I31"/>
    </row>
    <row r="32" spans="2:9" ht="7.5" customHeight="1">
      <c r="B32"/>
      <c r="C32"/>
      <c r="D32"/>
      <c r="E32"/>
      <c r="F32"/>
      <c r="G32"/>
      <c r="H32"/>
      <c r="I32"/>
    </row>
    <row r="33" spans="2:9">
      <c r="B33" s="7" t="s">
        <v>102</v>
      </c>
      <c r="C33" s="26" t="s">
        <v>103</v>
      </c>
      <c r="D33" s="7" t="s">
        <v>104</v>
      </c>
      <c r="E33" s="26" t="s">
        <v>105</v>
      </c>
      <c r="F33" s="7" t="s">
        <v>106</v>
      </c>
      <c r="G33" s="7" t="s">
        <v>107</v>
      </c>
      <c r="H33" s="7" t="s">
        <v>112</v>
      </c>
      <c r="I33" s="26" t="s">
        <v>113</v>
      </c>
    </row>
    <row r="34" spans="2:9" ht="45">
      <c r="B34" s="10" t="s">
        <v>7</v>
      </c>
      <c r="C34" s="31" t="s">
        <v>10</v>
      </c>
      <c r="D34" s="10" t="s">
        <v>108</v>
      </c>
      <c r="E34" s="31" t="s">
        <v>11</v>
      </c>
      <c r="F34" s="79" t="s">
        <v>12</v>
      </c>
      <c r="G34" s="80"/>
      <c r="H34" s="79" t="s">
        <v>13</v>
      </c>
      <c r="I34" s="80"/>
    </row>
    <row r="35" spans="2:9">
      <c r="B35" s="19" t="s">
        <v>94</v>
      </c>
      <c r="C35" s="34">
        <v>400</v>
      </c>
      <c r="D35" s="34">
        <f>IF(F19&gt;0,IF(F35&lt;1,MIN(C35,$C$31/F19),0),C35)</f>
        <v>400</v>
      </c>
      <c r="E35" s="34">
        <f>D35</f>
        <v>400</v>
      </c>
      <c r="F35" s="36">
        <v>0</v>
      </c>
      <c r="G35" s="37">
        <v>0</v>
      </c>
      <c r="H35" s="20">
        <f t="shared" ref="H35:I41" si="2">D35*$E19</f>
        <v>10400</v>
      </c>
      <c r="I35" s="20">
        <f t="shared" si="2"/>
        <v>10400</v>
      </c>
    </row>
    <row r="36" spans="2:9">
      <c r="B36" s="19" t="s">
        <v>95</v>
      </c>
      <c r="C36" s="34">
        <v>320</v>
      </c>
      <c r="D36" s="34">
        <f t="shared" ref="D36:D41" si="3">FLOOR(IF(F20&gt;0,IF(F35&lt;1,MIN(C36,$C$31*(1-F35)/F20),0),C36),1)</f>
        <v>320</v>
      </c>
      <c r="E36" s="34">
        <f t="shared" ref="E36:E43" si="4">D36</f>
        <v>320</v>
      </c>
      <c r="F36" s="36">
        <f t="shared" ref="F36:F41" si="5">D36*F20/$C$31+F35</f>
        <v>0.15948963317384371</v>
      </c>
      <c r="G36" s="36">
        <f t="shared" ref="G36:G43" si="6">E36*F20/$C$31+G35</f>
        <v>0.15948963317384371</v>
      </c>
      <c r="H36" s="20">
        <f t="shared" si="2"/>
        <v>27200</v>
      </c>
      <c r="I36" s="20">
        <f t="shared" si="2"/>
        <v>27200</v>
      </c>
    </row>
    <row r="37" spans="2:9">
      <c r="B37" s="9" t="s">
        <v>96</v>
      </c>
      <c r="C37" s="34">
        <v>110</v>
      </c>
      <c r="D37" s="34">
        <f t="shared" si="3"/>
        <v>110</v>
      </c>
      <c r="E37" s="34">
        <f t="shared" si="4"/>
        <v>110</v>
      </c>
      <c r="F37" s="36">
        <f t="shared" si="5"/>
        <v>0.32396331738437001</v>
      </c>
      <c r="G37" s="36">
        <f t="shared" si="6"/>
        <v>0.32396331738437001</v>
      </c>
      <c r="H37" s="20">
        <f t="shared" si="2"/>
        <v>22990</v>
      </c>
      <c r="I37" s="20">
        <f t="shared" si="2"/>
        <v>22990</v>
      </c>
    </row>
    <row r="38" spans="2:9">
      <c r="B38" s="19" t="s">
        <v>97</v>
      </c>
      <c r="C38" s="34">
        <v>50</v>
      </c>
      <c r="D38" s="34">
        <f t="shared" si="3"/>
        <v>50</v>
      </c>
      <c r="E38" s="34">
        <f t="shared" si="4"/>
        <v>50</v>
      </c>
      <c r="F38" s="36">
        <f t="shared" si="5"/>
        <v>0.39872408293460926</v>
      </c>
      <c r="G38" s="36">
        <f t="shared" si="6"/>
        <v>0.39872408293460926</v>
      </c>
      <c r="H38" s="20">
        <f t="shared" si="2"/>
        <v>9150</v>
      </c>
      <c r="I38" s="20">
        <f t="shared" si="2"/>
        <v>9150</v>
      </c>
    </row>
    <row r="39" spans="2:9">
      <c r="B39" s="19" t="s">
        <v>98</v>
      </c>
      <c r="C39" s="34">
        <v>90</v>
      </c>
      <c r="D39" s="34">
        <f t="shared" si="3"/>
        <v>90</v>
      </c>
      <c r="E39" s="34">
        <f t="shared" si="4"/>
        <v>90</v>
      </c>
      <c r="F39" s="36">
        <f t="shared" si="5"/>
        <v>0.47049441786283891</v>
      </c>
      <c r="G39" s="36">
        <f t="shared" si="6"/>
        <v>0.47049441786283891</v>
      </c>
      <c r="H39" s="20">
        <f t="shared" si="2"/>
        <v>8190</v>
      </c>
      <c r="I39" s="20">
        <f t="shared" si="2"/>
        <v>8190</v>
      </c>
    </row>
    <row r="40" spans="2:9">
      <c r="B40" s="19" t="s">
        <v>99</v>
      </c>
      <c r="C40" s="34">
        <v>250</v>
      </c>
      <c r="D40" s="34">
        <f t="shared" si="3"/>
        <v>250</v>
      </c>
      <c r="E40" s="34">
        <f t="shared" si="4"/>
        <v>250</v>
      </c>
      <c r="F40" s="36">
        <f t="shared" si="5"/>
        <v>0.5452551834130781</v>
      </c>
      <c r="G40" s="36">
        <f t="shared" si="6"/>
        <v>0.5452551834130781</v>
      </c>
      <c r="H40" s="20">
        <f t="shared" si="2"/>
        <v>7750</v>
      </c>
      <c r="I40" s="20">
        <f t="shared" si="2"/>
        <v>7750</v>
      </c>
    </row>
    <row r="41" spans="2:9">
      <c r="B41" s="9" t="s">
        <v>100</v>
      </c>
      <c r="C41" s="34">
        <v>150</v>
      </c>
      <c r="D41" s="34">
        <f t="shared" si="3"/>
        <v>150</v>
      </c>
      <c r="E41" s="34">
        <f t="shared" si="4"/>
        <v>150</v>
      </c>
      <c r="F41" s="36">
        <f t="shared" si="5"/>
        <v>0.64992025518341301</v>
      </c>
      <c r="G41" s="36">
        <f t="shared" si="6"/>
        <v>0.64992025518341301</v>
      </c>
      <c r="H41" s="20">
        <f t="shared" si="2"/>
        <v>8250</v>
      </c>
      <c r="I41" s="20">
        <f t="shared" si="2"/>
        <v>8250</v>
      </c>
    </row>
    <row r="42" spans="2:9">
      <c r="B42" s="19" t="s">
        <v>128</v>
      </c>
      <c r="C42" s="34">
        <v>250</v>
      </c>
      <c r="D42" s="34">
        <f t="shared" ref="D42:D43" si="7">FLOOR(IF(F26&gt;0,IF(F41&lt;1,MIN(C42,$C$31*(1-F41)/F26),0),C42),1)</f>
        <v>250</v>
      </c>
      <c r="E42" s="34">
        <f t="shared" si="4"/>
        <v>250</v>
      </c>
      <c r="F42" s="36">
        <f t="shared" ref="F42:F43" si="8">D42*F26/$C$31+F41</f>
        <v>0.77452153110047839</v>
      </c>
      <c r="G42" s="36">
        <f t="shared" si="6"/>
        <v>0.77452153110047839</v>
      </c>
      <c r="H42" s="20">
        <f t="shared" ref="H42:H43" si="9">D42*$E26</f>
        <v>9250</v>
      </c>
      <c r="I42" s="20">
        <f t="shared" ref="I42:I43" si="10">E42*$E26</f>
        <v>9250</v>
      </c>
    </row>
    <row r="43" spans="2:9">
      <c r="B43" s="19" t="s">
        <v>129</v>
      </c>
      <c r="C43" s="34">
        <v>100</v>
      </c>
      <c r="D43" s="34">
        <f t="shared" si="7"/>
        <v>100</v>
      </c>
      <c r="E43" s="34">
        <f t="shared" si="4"/>
        <v>100</v>
      </c>
      <c r="F43" s="36">
        <f t="shared" si="8"/>
        <v>0.92404306220095689</v>
      </c>
      <c r="G43" s="36">
        <f t="shared" si="6"/>
        <v>0.92404306220095689</v>
      </c>
      <c r="H43" s="20">
        <f t="shared" si="9"/>
        <v>10500</v>
      </c>
      <c r="I43" s="20">
        <f t="shared" si="10"/>
        <v>10500</v>
      </c>
    </row>
    <row r="45" spans="2:9">
      <c r="G45" s="40" t="s">
        <v>14</v>
      </c>
      <c r="H45" s="41">
        <f>SUM(H35:H44)</f>
        <v>113680</v>
      </c>
      <c r="I45" s="41">
        <f>SUM(I35:I44)</f>
        <v>113680</v>
      </c>
    </row>
    <row r="46" spans="2:9">
      <c r="C46" s="43" t="s">
        <v>119</v>
      </c>
      <c r="D46" s="47">
        <v>250</v>
      </c>
      <c r="G46" s="40" t="s">
        <v>15</v>
      </c>
      <c r="H46" s="41">
        <f>$C$12+D46</f>
        <v>112584.99999999997</v>
      </c>
      <c r="I46" s="41">
        <f>$C$12+D46</f>
        <v>112584.99999999997</v>
      </c>
    </row>
    <row r="47" spans="2:9">
      <c r="G47" s="40" t="s">
        <v>16</v>
      </c>
      <c r="H47" s="41">
        <f>H45-H46</f>
        <v>1095.0000000000291</v>
      </c>
      <c r="I47" s="41">
        <f>I45-I46</f>
        <v>1095.0000000000291</v>
      </c>
    </row>
    <row r="48" spans="2:9">
      <c r="G48" s="40" t="s">
        <v>114</v>
      </c>
      <c r="I48" s="41">
        <f>H47-I47</f>
        <v>0</v>
      </c>
    </row>
    <row r="49" spans="7:9">
      <c r="G49" s="40" t="s">
        <v>130</v>
      </c>
      <c r="H49" s="41">
        <f>H47-Табл15!H42</f>
        <v>19500</v>
      </c>
      <c r="I49" s="41">
        <f>I47-Табл15!I42</f>
        <v>19500</v>
      </c>
    </row>
    <row r="50" spans="7:9">
      <c r="G50" s="40" t="s">
        <v>120</v>
      </c>
      <c r="H50" s="3">
        <v>0</v>
      </c>
      <c r="I50" s="41">
        <v>0</v>
      </c>
    </row>
    <row r="51" spans="7:9">
      <c r="G51" s="40" t="s">
        <v>17</v>
      </c>
      <c r="H51" s="41">
        <v>2100000</v>
      </c>
      <c r="I51" s="41">
        <f>H51</f>
        <v>2100000</v>
      </c>
    </row>
    <row r="52" spans="7:9">
      <c r="G52" s="40" t="s">
        <v>115</v>
      </c>
      <c r="H52" s="42">
        <f>H47*12/H51</f>
        <v>6.2571428571430235E-3</v>
      </c>
      <c r="I52" s="42">
        <f>I47*12/I51</f>
        <v>6.2571428571430235E-3</v>
      </c>
    </row>
  </sheetData>
  <mergeCells count="2">
    <mergeCell ref="F34:G34"/>
    <mergeCell ref="H34:I34"/>
  </mergeCells>
  <pageMargins left="0.7" right="0.7" top="0.75" bottom="0.75" header="0.3" footer="0.3"/>
  <pageSetup paperSize="9" orientation="portrait" r:id="rId1"/>
  <ignoredErrors>
    <ignoredError sqref="E26:E2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B1:G86"/>
  <sheetViews>
    <sheetView showGridLines="0" topLeftCell="A67" workbookViewId="0">
      <selection activeCell="C76" sqref="C76"/>
    </sheetView>
  </sheetViews>
  <sheetFormatPr defaultRowHeight="15"/>
  <cols>
    <col min="1" max="1" width="5.28515625" customWidth="1"/>
    <col min="3" max="3" width="38.140625" customWidth="1"/>
    <col min="4" max="6" width="21.7109375" customWidth="1"/>
    <col min="7" max="7" width="16.42578125" customWidth="1"/>
  </cols>
  <sheetData>
    <row r="1" spans="2:6">
      <c r="B1" t="s">
        <v>132</v>
      </c>
    </row>
    <row r="2" spans="2:6" ht="6" customHeight="1"/>
    <row r="3" spans="2:6" ht="30">
      <c r="B3" s="7" t="s">
        <v>133</v>
      </c>
      <c r="C3" s="26" t="s">
        <v>137</v>
      </c>
      <c r="D3" s="7" t="s">
        <v>138</v>
      </c>
      <c r="E3" s="26" t="s">
        <v>134</v>
      </c>
      <c r="F3" s="26" t="s">
        <v>135</v>
      </c>
    </row>
    <row r="4" spans="2:6">
      <c r="B4" s="32" t="s">
        <v>85</v>
      </c>
      <c r="C4" s="50">
        <v>780</v>
      </c>
      <c r="D4" s="50">
        <v>390</v>
      </c>
      <c r="E4" s="50">
        <v>1170</v>
      </c>
      <c r="F4" s="52">
        <f>E4/$D$8</f>
        <v>0.48749999999999999</v>
      </c>
    </row>
    <row r="5" spans="2:6">
      <c r="B5" s="10" t="s">
        <v>86</v>
      </c>
      <c r="C5" s="51">
        <v>910</v>
      </c>
      <c r="D5" s="51">
        <v>455</v>
      </c>
      <c r="E5" s="51">
        <v>1365</v>
      </c>
      <c r="F5" s="52">
        <f t="shared" ref="F5:F7" si="0">E5/$D$8</f>
        <v>0.56874999999999998</v>
      </c>
    </row>
    <row r="6" spans="2:6">
      <c r="B6" s="53" t="s">
        <v>87</v>
      </c>
      <c r="C6" s="54">
        <v>1040</v>
      </c>
      <c r="D6" s="54">
        <v>1820</v>
      </c>
      <c r="E6" s="54">
        <v>2860</v>
      </c>
      <c r="F6" s="55">
        <f t="shared" si="0"/>
        <v>1.1916666666666667</v>
      </c>
    </row>
    <row r="7" spans="2:6">
      <c r="B7" s="32" t="s">
        <v>136</v>
      </c>
      <c r="C7" s="51">
        <v>910</v>
      </c>
      <c r="D7" s="51">
        <v>455</v>
      </c>
      <c r="E7" s="51">
        <v>1365</v>
      </c>
      <c r="F7" s="52">
        <f t="shared" si="0"/>
        <v>0.56874999999999998</v>
      </c>
    </row>
    <row r="8" spans="2:6">
      <c r="C8" t="s">
        <v>139</v>
      </c>
      <c r="D8" s="38">
        <f>5*8*60</f>
        <v>2400</v>
      </c>
      <c r="E8" s="38"/>
    </row>
    <row r="10" spans="2:6">
      <c r="C10" t="s">
        <v>145</v>
      </c>
    </row>
    <row r="11" spans="2:6" ht="6" customHeight="1"/>
    <row r="12" spans="2:6">
      <c r="C12" s="26" t="s">
        <v>140</v>
      </c>
      <c r="D12" s="7" t="s">
        <v>141</v>
      </c>
    </row>
    <row r="13" spans="2:6">
      <c r="C13" s="56" t="s">
        <v>142</v>
      </c>
      <c r="D13" s="50">
        <v>4730</v>
      </c>
    </row>
    <row r="14" spans="2:6">
      <c r="C14" s="57" t="s">
        <v>143</v>
      </c>
      <c r="D14" s="51">
        <v>3024</v>
      </c>
    </row>
    <row r="15" spans="2:6">
      <c r="C15" s="57" t="s">
        <v>144</v>
      </c>
      <c r="D15" s="51">
        <v>4246</v>
      </c>
    </row>
    <row r="16" spans="2:6">
      <c r="C16" s="58" t="s">
        <v>5</v>
      </c>
      <c r="D16" s="54">
        <v>12000</v>
      </c>
    </row>
    <row r="18" spans="2:7">
      <c r="C18" t="s">
        <v>153</v>
      </c>
    </row>
    <row r="19" spans="2:7" ht="5.25" customHeight="1"/>
    <row r="20" spans="2:7" ht="45">
      <c r="C20" s="26" t="s">
        <v>140</v>
      </c>
      <c r="D20" s="7" t="s">
        <v>146</v>
      </c>
      <c r="E20" s="26" t="s">
        <v>147</v>
      </c>
      <c r="F20" s="7" t="s">
        <v>148</v>
      </c>
      <c r="G20" s="7" t="s">
        <v>149</v>
      </c>
    </row>
    <row r="21" spans="2:7">
      <c r="C21" s="56" t="s">
        <v>142</v>
      </c>
      <c r="D21" s="50">
        <v>4730</v>
      </c>
      <c r="E21" s="49" t="s">
        <v>150</v>
      </c>
      <c r="F21" s="50">
        <v>160</v>
      </c>
      <c r="G21" s="66">
        <f>D21/F21</f>
        <v>29.5625</v>
      </c>
    </row>
    <row r="22" spans="2:7">
      <c r="C22" s="57" t="s">
        <v>143</v>
      </c>
      <c r="D22" s="51">
        <v>3024</v>
      </c>
      <c r="E22" s="59" t="s">
        <v>151</v>
      </c>
      <c r="F22" s="51">
        <v>40</v>
      </c>
      <c r="G22" s="66">
        <f t="shared" ref="G22:G23" si="1">D22/F22</f>
        <v>75.599999999999994</v>
      </c>
    </row>
    <row r="23" spans="2:7">
      <c r="C23" s="57" t="s">
        <v>144</v>
      </c>
      <c r="D23" s="51">
        <v>4246</v>
      </c>
      <c r="E23" s="59" t="s">
        <v>152</v>
      </c>
      <c r="F23" s="51">
        <v>4000</v>
      </c>
      <c r="G23" s="66">
        <f t="shared" si="1"/>
        <v>1.0615000000000001</v>
      </c>
    </row>
    <row r="25" spans="2:7">
      <c r="B25" t="s">
        <v>155</v>
      </c>
    </row>
    <row r="26" spans="2:7" ht="6.75" customHeight="1"/>
    <row r="27" spans="2:7">
      <c r="B27" s="7"/>
      <c r="C27" s="26" t="s">
        <v>154</v>
      </c>
      <c r="D27" s="7" t="s">
        <v>67</v>
      </c>
    </row>
    <row r="28" spans="2:7">
      <c r="B28" s="32" t="s">
        <v>85</v>
      </c>
      <c r="C28" s="61">
        <v>6</v>
      </c>
      <c r="D28" s="61">
        <v>3</v>
      </c>
    </row>
    <row r="29" spans="2:7">
      <c r="B29" s="10" t="s">
        <v>86</v>
      </c>
      <c r="C29" s="62">
        <v>7</v>
      </c>
      <c r="D29" s="62">
        <v>3.5</v>
      </c>
    </row>
    <row r="30" spans="2:7">
      <c r="B30" s="10" t="s">
        <v>87</v>
      </c>
      <c r="C30" s="62">
        <v>8</v>
      </c>
      <c r="D30" s="62">
        <v>14</v>
      </c>
    </row>
    <row r="31" spans="2:7">
      <c r="B31" s="32" t="s">
        <v>136</v>
      </c>
      <c r="C31" s="62">
        <v>7</v>
      </c>
      <c r="D31" s="62">
        <v>3.5</v>
      </c>
    </row>
    <row r="32" spans="2:7">
      <c r="B32" s="60" t="s">
        <v>5</v>
      </c>
      <c r="C32" s="63">
        <v>28</v>
      </c>
      <c r="D32" s="63">
        <v>24</v>
      </c>
    </row>
    <row r="34" spans="3:5">
      <c r="C34" t="s">
        <v>157</v>
      </c>
    </row>
    <row r="35" spans="3:5" ht="6" customHeight="1"/>
    <row r="36" spans="3:5">
      <c r="C36" s="26"/>
      <c r="D36" s="7" t="s">
        <v>154</v>
      </c>
      <c r="E36" s="26" t="s">
        <v>67</v>
      </c>
    </row>
    <row r="37" spans="3:5">
      <c r="C37" s="56" t="s">
        <v>150</v>
      </c>
      <c r="D37" s="66">
        <f>C32/60</f>
        <v>0.46666666666666667</v>
      </c>
      <c r="E37" s="66">
        <f>D32/60</f>
        <v>0.4</v>
      </c>
    </row>
    <row r="38" spans="3:5">
      <c r="C38" s="57" t="s">
        <v>149</v>
      </c>
      <c r="D38" s="67">
        <f>G21</f>
        <v>29.5625</v>
      </c>
      <c r="E38" s="67">
        <f>G21</f>
        <v>29.5625</v>
      </c>
    </row>
    <row r="39" spans="3:5">
      <c r="C39" s="57" t="s">
        <v>156</v>
      </c>
      <c r="D39" s="67">
        <f>D37*D38</f>
        <v>13.795833333333334</v>
      </c>
      <c r="E39" s="67">
        <f>E37*E38</f>
        <v>11.825000000000001</v>
      </c>
    </row>
    <row r="41" spans="3:5">
      <c r="C41" t="s">
        <v>158</v>
      </c>
    </row>
    <row r="42" spans="3:5" ht="6" customHeight="1"/>
    <row r="43" spans="3:5">
      <c r="C43" s="26"/>
      <c r="D43" s="7" t="s">
        <v>154</v>
      </c>
      <c r="E43" s="26" t="s">
        <v>67</v>
      </c>
    </row>
    <row r="44" spans="3:5">
      <c r="C44" s="56" t="s">
        <v>151</v>
      </c>
      <c r="D44" s="66">
        <v>0.13</v>
      </c>
      <c r="E44" s="66">
        <v>0.2</v>
      </c>
    </row>
    <row r="45" spans="3:5">
      <c r="C45" s="57" t="s">
        <v>149</v>
      </c>
      <c r="D45" s="67">
        <f>G22</f>
        <v>75.599999999999994</v>
      </c>
      <c r="E45" s="67">
        <f>G22</f>
        <v>75.599999999999994</v>
      </c>
    </row>
    <row r="46" spans="3:5">
      <c r="C46" s="57" t="s">
        <v>159</v>
      </c>
      <c r="D46" s="67">
        <f>D44*D45</f>
        <v>9.8279999999999994</v>
      </c>
      <c r="E46" s="67">
        <f>E44*E45</f>
        <v>15.12</v>
      </c>
    </row>
    <row r="48" spans="3:5">
      <c r="C48" t="s">
        <v>160</v>
      </c>
    </row>
    <row r="49" spans="3:5" ht="7.5" customHeight="1"/>
    <row r="50" spans="3:5">
      <c r="C50" s="26"/>
      <c r="D50" s="7" t="s">
        <v>154</v>
      </c>
      <c r="E50" s="26" t="s">
        <v>67</v>
      </c>
    </row>
    <row r="51" spans="3:5">
      <c r="C51" s="56" t="s">
        <v>152</v>
      </c>
      <c r="D51" s="66">
        <v>10</v>
      </c>
      <c r="E51" s="66">
        <v>2</v>
      </c>
    </row>
    <row r="52" spans="3:5">
      <c r="C52" s="57" t="s">
        <v>149</v>
      </c>
      <c r="D52" s="67">
        <v>1.0615000000000001</v>
      </c>
      <c r="E52" s="67">
        <v>1.0615000000000001</v>
      </c>
    </row>
    <row r="53" spans="3:5">
      <c r="C53" s="57" t="s">
        <v>161</v>
      </c>
      <c r="D53" s="67">
        <v>10.62</v>
      </c>
      <c r="E53" s="67">
        <v>2.12</v>
      </c>
    </row>
    <row r="55" spans="3:5">
      <c r="C55" t="s">
        <v>163</v>
      </c>
    </row>
    <row r="56" spans="3:5" ht="6" customHeight="1"/>
    <row r="57" spans="3:5">
      <c r="C57" s="26"/>
      <c r="D57" s="7" t="s">
        <v>154</v>
      </c>
      <c r="E57" s="26" t="s">
        <v>67</v>
      </c>
    </row>
    <row r="58" spans="3:5">
      <c r="C58" s="56" t="s">
        <v>162</v>
      </c>
      <c r="D58" s="64">
        <v>45</v>
      </c>
      <c r="E58" s="64">
        <v>42</v>
      </c>
    </row>
    <row r="59" spans="3:5">
      <c r="C59" s="57" t="s">
        <v>142</v>
      </c>
      <c r="D59" s="65">
        <f>D39</f>
        <v>13.795833333333334</v>
      </c>
      <c r="E59" s="65">
        <f>E39</f>
        <v>11.825000000000001</v>
      </c>
    </row>
    <row r="60" spans="3:5">
      <c r="C60" s="57" t="s">
        <v>143</v>
      </c>
      <c r="D60" s="65">
        <f>D46</f>
        <v>9.8279999999999994</v>
      </c>
      <c r="E60" s="65">
        <f>E46</f>
        <v>15.12</v>
      </c>
    </row>
    <row r="61" spans="3:5">
      <c r="C61" s="57" t="s">
        <v>144</v>
      </c>
      <c r="D61" s="65">
        <f>D53</f>
        <v>10.62</v>
      </c>
      <c r="E61" s="65">
        <f>E53</f>
        <v>2.12</v>
      </c>
    </row>
    <row r="62" spans="3:5">
      <c r="C62" s="58" t="s">
        <v>5</v>
      </c>
      <c r="D62" s="68">
        <v>79.260000000000005</v>
      </c>
      <c r="E62" s="68">
        <v>71.069999999999993</v>
      </c>
    </row>
    <row r="64" spans="3:5">
      <c r="C64" t="s">
        <v>167</v>
      </c>
    </row>
    <row r="65" spans="3:6" ht="7.5" customHeight="1"/>
    <row r="66" spans="3:6">
      <c r="C66" s="26"/>
      <c r="D66" s="7" t="s">
        <v>154</v>
      </c>
      <c r="E66" s="26" t="s">
        <v>67</v>
      </c>
      <c r="F66" s="26" t="s">
        <v>5</v>
      </c>
    </row>
    <row r="67" spans="3:6">
      <c r="C67" s="56" t="s">
        <v>168</v>
      </c>
      <c r="D67" s="50">
        <v>72</v>
      </c>
      <c r="E67" s="50">
        <v>130</v>
      </c>
      <c r="F67" s="50"/>
    </row>
    <row r="68" spans="3:6">
      <c r="C68" s="56" t="s">
        <v>170</v>
      </c>
      <c r="D68" s="50">
        <v>95</v>
      </c>
      <c r="E68" s="50">
        <v>105</v>
      </c>
      <c r="F68" s="50"/>
    </row>
    <row r="69" spans="3:6">
      <c r="C69" s="56" t="s">
        <v>171</v>
      </c>
      <c r="D69" s="50">
        <v>45</v>
      </c>
      <c r="E69" s="50">
        <v>42</v>
      </c>
      <c r="F69" s="50"/>
    </row>
    <row r="70" spans="3:6">
      <c r="C70" s="56" t="s">
        <v>164</v>
      </c>
      <c r="D70" s="50">
        <f>D67*D68</f>
        <v>6840</v>
      </c>
      <c r="E70" s="50">
        <f>E67*E68</f>
        <v>13650</v>
      </c>
      <c r="F70" s="50">
        <f>SUM(D70:E70)</f>
        <v>20490</v>
      </c>
    </row>
    <row r="71" spans="3:6">
      <c r="C71" s="57" t="s">
        <v>162</v>
      </c>
      <c r="D71" s="51">
        <f>D67*D69</f>
        <v>3240</v>
      </c>
      <c r="E71" s="51">
        <f>E67*E69</f>
        <v>5460</v>
      </c>
      <c r="F71" s="51">
        <f>SUM(D71:E71)</f>
        <v>8700</v>
      </c>
    </row>
    <row r="72" spans="3:6">
      <c r="C72" s="57" t="s">
        <v>165</v>
      </c>
      <c r="D72" s="51">
        <f>D70-D71</f>
        <v>3600</v>
      </c>
      <c r="E72" s="51">
        <f>E70-E71</f>
        <v>8190</v>
      </c>
      <c r="F72" s="51">
        <f>SUM(D72:E72)</f>
        <v>11790</v>
      </c>
    </row>
    <row r="73" spans="3:6">
      <c r="C73" s="57" t="s">
        <v>166</v>
      </c>
      <c r="D73" s="51"/>
      <c r="E73" s="51"/>
      <c r="F73" s="51">
        <f>D16</f>
        <v>12000</v>
      </c>
    </row>
    <row r="74" spans="3:6">
      <c r="C74" s="58" t="s">
        <v>169</v>
      </c>
      <c r="D74" s="54"/>
      <c r="E74" s="54"/>
      <c r="F74" s="54">
        <f>F72-F73</f>
        <v>-210</v>
      </c>
    </row>
    <row r="76" spans="3:6">
      <c r="C76" t="s">
        <v>172</v>
      </c>
    </row>
    <row r="77" spans="3:6" ht="6" customHeight="1"/>
    <row r="78" spans="3:6">
      <c r="C78" s="26"/>
      <c r="D78" s="7" t="s">
        <v>154</v>
      </c>
      <c r="E78" s="26" t="s">
        <v>67</v>
      </c>
      <c r="F78" s="26" t="s">
        <v>5</v>
      </c>
    </row>
    <row r="79" spans="3:6">
      <c r="C79" s="56" t="s">
        <v>168</v>
      </c>
      <c r="D79" s="50">
        <v>0</v>
      </c>
      <c r="E79" s="50">
        <v>171</v>
      </c>
      <c r="F79" s="50"/>
    </row>
    <row r="80" spans="3:6">
      <c r="C80" s="56" t="s">
        <v>170</v>
      </c>
      <c r="D80" s="50">
        <v>95</v>
      </c>
      <c r="E80" s="50">
        <v>105</v>
      </c>
      <c r="F80" s="50"/>
    </row>
    <row r="81" spans="3:6">
      <c r="C81" s="56" t="s">
        <v>171</v>
      </c>
      <c r="D81" s="50">
        <v>45</v>
      </c>
      <c r="E81" s="50">
        <v>42</v>
      </c>
      <c r="F81" s="50"/>
    </row>
    <row r="82" spans="3:6">
      <c r="C82" s="56" t="s">
        <v>164</v>
      </c>
      <c r="D82" s="50">
        <f>D79*D80</f>
        <v>0</v>
      </c>
      <c r="E82" s="50">
        <f>E79*E80</f>
        <v>17955</v>
      </c>
      <c r="F82" s="50">
        <f>SUM(D82:E82)</f>
        <v>17955</v>
      </c>
    </row>
    <row r="83" spans="3:6">
      <c r="C83" s="57" t="s">
        <v>162</v>
      </c>
      <c r="D83" s="51">
        <f>D79*D81</f>
        <v>0</v>
      </c>
      <c r="E83" s="51">
        <f>E79*E81</f>
        <v>7182</v>
      </c>
      <c r="F83" s="51">
        <f>SUM(D83:E83)</f>
        <v>7182</v>
      </c>
    </row>
    <row r="84" spans="3:6">
      <c r="C84" s="57" t="s">
        <v>165</v>
      </c>
      <c r="D84" s="51">
        <f>D82-D83</f>
        <v>0</v>
      </c>
      <c r="E84" s="51">
        <f>E82-E83</f>
        <v>10773</v>
      </c>
      <c r="F84" s="51">
        <f>SUM(D84:E84)</f>
        <v>10773</v>
      </c>
    </row>
    <row r="85" spans="3:6">
      <c r="C85" s="57" t="s">
        <v>166</v>
      </c>
      <c r="D85" s="51"/>
      <c r="E85" s="51"/>
      <c r="F85" s="51">
        <f>D16</f>
        <v>12000</v>
      </c>
    </row>
    <row r="86" spans="3:6">
      <c r="C86" s="58" t="s">
        <v>169</v>
      </c>
      <c r="D86" s="54"/>
      <c r="E86" s="54"/>
      <c r="F86" s="54">
        <f>F84-F85</f>
        <v>-1227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39"/>
  <sheetViews>
    <sheetView showGridLines="0" topLeftCell="A13" workbookViewId="0">
      <selection activeCell="G41" sqref="G41"/>
    </sheetView>
  </sheetViews>
  <sheetFormatPr defaultRowHeight="15"/>
  <cols>
    <col min="1" max="1" width="3.7109375" style="3" customWidth="1"/>
    <col min="2" max="2" width="23.85546875" style="3" customWidth="1"/>
    <col min="3" max="3" width="10.140625" style="25" customWidth="1"/>
    <col min="4" max="4" width="22" style="3" customWidth="1"/>
    <col min="5" max="5" width="22.42578125" style="3" customWidth="1"/>
    <col min="6" max="6" width="19.28515625" style="3" customWidth="1"/>
    <col min="7" max="7" width="21.5703125" style="3" customWidth="1"/>
    <col min="8" max="8" width="10.5703125" style="3" customWidth="1"/>
    <col min="9" max="9" width="12" style="3" customWidth="1"/>
    <col min="10" max="10" width="3.7109375" style="3" customWidth="1"/>
    <col min="11" max="16384" width="9.140625" style="3"/>
  </cols>
  <sheetData>
    <row r="1" spans="2:9">
      <c r="B1" t="s">
        <v>173</v>
      </c>
      <c r="C1" s="28"/>
    </row>
    <row r="2" spans="2:9">
      <c r="B2"/>
      <c r="C2" s="28"/>
    </row>
    <row r="3" spans="2:9">
      <c r="B3" t="s">
        <v>84</v>
      </c>
      <c r="C3" s="28"/>
    </row>
    <row r="4" spans="2:9" ht="9" customHeight="1">
      <c r="B4"/>
      <c r="C4"/>
      <c r="D4"/>
      <c r="E4"/>
      <c r="F4"/>
      <c r="G4"/>
    </row>
    <row r="5" spans="2:9" ht="33">
      <c r="B5" s="26" t="s">
        <v>7</v>
      </c>
      <c r="C5" s="7" t="s">
        <v>175</v>
      </c>
      <c r="D5" s="26" t="s">
        <v>176</v>
      </c>
      <c r="E5" s="26" t="s">
        <v>177</v>
      </c>
      <c r="F5" s="26" t="s">
        <v>174</v>
      </c>
      <c r="G5" s="26" t="s">
        <v>178</v>
      </c>
    </row>
    <row r="6" spans="2:9">
      <c r="B6" s="56" t="s">
        <v>154</v>
      </c>
      <c r="C6" s="50">
        <v>95</v>
      </c>
      <c r="D6" s="50">
        <v>45</v>
      </c>
      <c r="E6" s="50">
        <f>C6-D6</f>
        <v>50</v>
      </c>
      <c r="F6" s="50">
        <v>8</v>
      </c>
      <c r="G6" s="64">
        <f>E6/F6</f>
        <v>6.25</v>
      </c>
    </row>
    <row r="7" spans="2:9">
      <c r="B7" s="56" t="s">
        <v>67</v>
      </c>
      <c r="C7" s="50">
        <v>105</v>
      </c>
      <c r="D7" s="50">
        <v>42</v>
      </c>
      <c r="E7" s="50">
        <f>C7-D7</f>
        <v>63</v>
      </c>
      <c r="F7" s="50">
        <v>14</v>
      </c>
      <c r="G7" s="64">
        <f>E7/F7</f>
        <v>4.5</v>
      </c>
    </row>
    <row r="9" spans="2:9">
      <c r="B9" s="28" t="s">
        <v>179</v>
      </c>
    </row>
    <row r="10" spans="2:9" ht="6" customHeight="1">
      <c r="B10" s="28"/>
    </row>
    <row r="11" spans="2:9">
      <c r="B11" t="s">
        <v>180</v>
      </c>
      <c r="C11"/>
      <c r="D11"/>
      <c r="E11"/>
      <c r="F11"/>
      <c r="G11"/>
      <c r="H11"/>
      <c r="I11"/>
    </row>
    <row r="12" spans="2:9">
      <c r="B12" s="1" t="s">
        <v>110</v>
      </c>
      <c r="C12" s="70">
        <f>5*8*60</f>
        <v>2400</v>
      </c>
      <c r="E12" t="s">
        <v>111</v>
      </c>
      <c r="F12" s="69">
        <f>SUMPRODUCT(F6:F7,C15:C16)/C12</f>
        <v>1.1916666666666667</v>
      </c>
      <c r="H12"/>
      <c r="I12"/>
    </row>
    <row r="13" spans="2:9" ht="6" customHeight="1">
      <c r="B13"/>
      <c r="C13"/>
      <c r="D13"/>
      <c r="E13"/>
      <c r="F13"/>
      <c r="G13"/>
      <c r="H13"/>
      <c r="I13"/>
    </row>
    <row r="14" spans="2:9" ht="45">
      <c r="B14" s="26" t="s">
        <v>7</v>
      </c>
      <c r="C14" s="7" t="s">
        <v>10</v>
      </c>
      <c r="D14" s="26" t="s">
        <v>108</v>
      </c>
      <c r="E14" s="26" t="s">
        <v>12</v>
      </c>
      <c r="F14" s="26" t="s">
        <v>13</v>
      </c>
    </row>
    <row r="15" spans="2:9">
      <c r="B15" s="56" t="s">
        <v>154</v>
      </c>
      <c r="C15" s="34">
        <v>130</v>
      </c>
      <c r="D15" s="34">
        <f>MIN(C15,$C$12/F6)</f>
        <v>130</v>
      </c>
      <c r="E15" s="36">
        <f>D15*F6/$C$12</f>
        <v>0.43333333333333335</v>
      </c>
      <c r="F15" s="20">
        <f>D15*$E6</f>
        <v>6500</v>
      </c>
    </row>
    <row r="16" spans="2:9">
      <c r="B16" s="56" t="s">
        <v>67</v>
      </c>
      <c r="C16" s="34">
        <v>130</v>
      </c>
      <c r="D16" s="34">
        <f>FLOOR(IF(F7&gt;0,IF(E15&lt;1,MIN(C16,$C$12*(1-E15)/F7),0),C16),1)</f>
        <v>97</v>
      </c>
      <c r="E16" s="36">
        <f>D16*F7/$C$12+E15</f>
        <v>0.99916666666666665</v>
      </c>
      <c r="F16" s="20">
        <f>D16*$E7</f>
        <v>6111</v>
      </c>
    </row>
    <row r="18" spans="2:6">
      <c r="C18" s="3"/>
      <c r="E18" s="40" t="s">
        <v>14</v>
      </c>
      <c r="F18" s="41">
        <f>SUM(F15:F16)</f>
        <v>12611</v>
      </c>
    </row>
    <row r="19" spans="2:6">
      <c r="C19" s="3"/>
      <c r="E19" s="40" t="s">
        <v>15</v>
      </c>
      <c r="F19" s="41">
        <v>12000</v>
      </c>
    </row>
    <row r="20" spans="2:6">
      <c r="C20" s="3"/>
      <c r="E20" s="40" t="s">
        <v>16</v>
      </c>
      <c r="F20" s="41">
        <f>F18-F19</f>
        <v>611</v>
      </c>
    </row>
    <row r="21" spans="2:6">
      <c r="B21" s="28" t="s">
        <v>181</v>
      </c>
    </row>
    <row r="22" spans="2:6" ht="6" customHeight="1"/>
    <row r="23" spans="2:6">
      <c r="B23" t="s">
        <v>180</v>
      </c>
      <c r="C23"/>
      <c r="D23"/>
      <c r="E23"/>
      <c r="F23"/>
    </row>
    <row r="24" spans="2:6">
      <c r="B24" s="1" t="s">
        <v>110</v>
      </c>
      <c r="C24" s="70">
        <f>5*8*60</f>
        <v>2400</v>
      </c>
      <c r="E24" t="s">
        <v>111</v>
      </c>
      <c r="F24" s="69">
        <f>SUMPRODUCT(F6:F7,C27:C28)/C24</f>
        <v>1</v>
      </c>
    </row>
    <row r="25" spans="2:6" ht="8.25" customHeight="1">
      <c r="B25"/>
      <c r="C25"/>
      <c r="D25"/>
      <c r="E25"/>
      <c r="F25"/>
    </row>
    <row r="26" spans="2:6" ht="45">
      <c r="B26" s="26" t="s">
        <v>7</v>
      </c>
      <c r="C26" s="7" t="s">
        <v>10</v>
      </c>
      <c r="D26" s="26" t="s">
        <v>108</v>
      </c>
      <c r="E26" s="26" t="s">
        <v>12</v>
      </c>
      <c r="F26" s="26" t="s">
        <v>13</v>
      </c>
    </row>
    <row r="27" spans="2:6">
      <c r="B27" s="56" t="s">
        <v>154</v>
      </c>
      <c r="C27" s="34">
        <v>300</v>
      </c>
      <c r="D27" s="34">
        <v>300</v>
      </c>
      <c r="E27" s="36">
        <f>D27*F6/$C$12</f>
        <v>1</v>
      </c>
      <c r="F27" s="20">
        <f>D27*$E6</f>
        <v>15000</v>
      </c>
    </row>
    <row r="28" spans="2:6">
      <c r="B28" s="56" t="s">
        <v>67</v>
      </c>
      <c r="C28" s="34">
        <v>0</v>
      </c>
      <c r="D28" s="34">
        <f>FLOOR(IF(F19&gt;0,IF(E27&lt;1,MIN(C28,$C$12*(1-E27)/F19),0),C28),1)</f>
        <v>0</v>
      </c>
      <c r="E28" s="36">
        <f>D28*F19/$C$12+E27</f>
        <v>1</v>
      </c>
      <c r="F28" s="20">
        <f>D28*$E7</f>
        <v>0</v>
      </c>
    </row>
    <row r="30" spans="2:6">
      <c r="C30" s="3"/>
      <c r="E30" s="40" t="s">
        <v>14</v>
      </c>
      <c r="F30" s="41">
        <f>SUM(F27:F28)</f>
        <v>15000</v>
      </c>
    </row>
    <row r="31" spans="2:6">
      <c r="C31" s="3"/>
      <c r="E31" s="40" t="s">
        <v>15</v>
      </c>
      <c r="F31" s="41">
        <v>12000</v>
      </c>
    </row>
    <row r="32" spans="2:6">
      <c r="C32" s="3"/>
      <c r="E32" s="40" t="s">
        <v>16</v>
      </c>
      <c r="F32" s="41">
        <f>F30-F31</f>
        <v>3000</v>
      </c>
    </row>
    <row r="33" spans="2:5">
      <c r="B33" t="s">
        <v>182</v>
      </c>
      <c r="C33" s="28"/>
    </row>
    <row r="34" spans="2:5" ht="6" customHeight="1">
      <c r="B34"/>
      <c r="C34" s="28"/>
    </row>
    <row r="35" spans="2:5">
      <c r="B35" t="s">
        <v>84</v>
      </c>
      <c r="C35" s="28"/>
    </row>
    <row r="36" spans="2:5" ht="7.5" customHeight="1">
      <c r="B36"/>
      <c r="C36"/>
      <c r="D36"/>
      <c r="E36"/>
    </row>
    <row r="37" spans="2:5" ht="33">
      <c r="B37" s="26" t="s">
        <v>7</v>
      </c>
      <c r="C37" s="7" t="s">
        <v>175</v>
      </c>
      <c r="D37" s="26" t="s">
        <v>176</v>
      </c>
      <c r="E37" s="26" t="s">
        <v>177</v>
      </c>
    </row>
    <row r="38" spans="2:5">
      <c r="B38" s="56" t="s">
        <v>183</v>
      </c>
      <c r="C38" s="50">
        <v>85</v>
      </c>
      <c r="D38" s="50">
        <v>37</v>
      </c>
      <c r="E38" s="50">
        <f>C38-D38</f>
        <v>48</v>
      </c>
    </row>
    <row r="39" spans="2:5">
      <c r="B39" s="56" t="s">
        <v>184</v>
      </c>
      <c r="C39" s="50">
        <v>92</v>
      </c>
      <c r="D39" s="50">
        <v>56</v>
      </c>
      <c r="E39" s="50">
        <f>C39-D39</f>
        <v>36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Табл1-8</vt:lpstr>
      <vt:lpstr>Табл9-11</vt:lpstr>
      <vt:lpstr>Табл12</vt:lpstr>
      <vt:lpstr>Табл13</vt:lpstr>
      <vt:lpstr>Табл14</vt:lpstr>
      <vt:lpstr>Табл15</vt:lpstr>
      <vt:lpstr>Табл16-17</vt:lpstr>
      <vt:lpstr>Табл18-27</vt:lpstr>
      <vt:lpstr>Табл28-31</vt:lpstr>
      <vt:lpstr>Табл32-33</vt:lpstr>
      <vt:lpstr>Табл34-35</vt:lpstr>
      <vt:lpstr>Табл36-37</vt:lpstr>
    </vt:vector>
  </TitlesOfParts>
  <Company>Lanit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Baguzin</dc:creator>
  <cp:lastModifiedBy>Багузин</cp:lastModifiedBy>
  <dcterms:created xsi:type="dcterms:W3CDTF">2009-08-10T12:14:24Z</dcterms:created>
  <dcterms:modified xsi:type="dcterms:W3CDTF">2012-10-06T06:58:59Z</dcterms:modified>
</cp:coreProperties>
</file>