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4_Финансы\Современный управленческий учет\7.1\"/>
    </mc:Choice>
  </mc:AlternateContent>
  <bookViews>
    <workbookView xWindow="0" yWindow="0" windowWidth="24000" windowHeight="9885" activeTab="4"/>
  </bookViews>
  <sheets>
    <sheet name="Рис. 1 и 2" sheetId="1" r:id="rId1"/>
    <sheet name="Рис. 3" sheetId="2" r:id="rId2"/>
    <sheet name="Рис. 4" sheetId="3" r:id="rId3"/>
    <sheet name=" Рис. 5 и 6" sheetId="4" r:id="rId4"/>
    <sheet name="Рис. 7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E7" i="5"/>
  <c r="B32" i="4" l="1"/>
  <c r="B30" i="4"/>
  <c r="B27" i="4"/>
  <c r="B25" i="4"/>
  <c r="B23" i="4"/>
  <c r="B21" i="4"/>
  <c r="B20" i="4"/>
  <c r="C15" i="4"/>
  <c r="B15" i="4"/>
  <c r="C14" i="4"/>
  <c r="C13" i="4"/>
  <c r="B13" i="4"/>
  <c r="C12" i="4"/>
  <c r="B12" i="4"/>
  <c r="C10" i="4"/>
  <c r="B10" i="4"/>
  <c r="C9" i="4"/>
  <c r="B9" i="4"/>
  <c r="B8" i="4"/>
  <c r="C7" i="4"/>
  <c r="B7" i="4"/>
  <c r="C6" i="4"/>
  <c r="B6" i="4"/>
  <c r="C5" i="4"/>
  <c r="B5" i="4"/>
  <c r="C4" i="4"/>
  <c r="B4" i="4"/>
  <c r="C3" i="4"/>
  <c r="B3" i="4"/>
  <c r="C2" i="4"/>
  <c r="B2" i="4"/>
  <c r="C22" i="3"/>
  <c r="B22" i="3"/>
  <c r="C12" i="3"/>
  <c r="B12" i="3"/>
  <c r="C10" i="3"/>
  <c r="B10" i="3"/>
  <c r="C7" i="3"/>
  <c r="B7" i="3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5" i="2"/>
  <c r="F5" i="2"/>
  <c r="E5" i="2"/>
  <c r="D5" i="2"/>
  <c r="C5" i="2"/>
  <c r="B5" i="2"/>
  <c r="G3" i="2"/>
  <c r="F3" i="2"/>
  <c r="E3" i="2"/>
  <c r="D3" i="2"/>
  <c r="C3" i="2"/>
  <c r="B3" i="2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C17" i="1"/>
  <c r="I16" i="1"/>
  <c r="H16" i="1"/>
  <c r="G16" i="1"/>
  <c r="F16" i="1"/>
  <c r="E15" i="1"/>
  <c r="D15" i="1"/>
  <c r="C15" i="1"/>
  <c r="I13" i="1"/>
  <c r="H13" i="1"/>
  <c r="G13" i="1"/>
  <c r="F13" i="1"/>
  <c r="E13" i="1"/>
  <c r="D13" i="1"/>
  <c r="C13" i="1"/>
  <c r="I11" i="1"/>
  <c r="H11" i="1"/>
  <c r="G11" i="1"/>
  <c r="F11" i="1"/>
  <c r="E11" i="1"/>
  <c r="D11" i="1"/>
  <c r="I10" i="1"/>
  <c r="H10" i="1"/>
  <c r="G10" i="1"/>
  <c r="F10" i="1"/>
  <c r="E10" i="1"/>
  <c r="D10" i="1"/>
  <c r="C10" i="1"/>
  <c r="B10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I6" i="1"/>
  <c r="H6" i="1"/>
  <c r="G6" i="1"/>
  <c r="F6" i="1"/>
  <c r="E6" i="1"/>
  <c r="D6" i="1"/>
  <c r="C6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<sst xmlns="http://schemas.openxmlformats.org/spreadsheetml/2006/main" count="117" uniqueCount="101">
  <si>
    <t>Месяц</t>
  </si>
  <si>
    <t>ноя</t>
  </si>
  <si>
    <t>дек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</si>
  <si>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</si>
  <si>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</si>
  <si>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</si>
  <si>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</si>
  <si>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</si>
  <si>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</si>
  <si>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</si>
  <si>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</si>
  <si>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Прогноз продаж, шт.</t>
  </si>
  <si>
    <t>(2) * 15</t>
  </si>
  <si>
    <t>Погашение дебиторской задолженности</t>
  </si>
  <si>
    <t>на следующий месяц, 40%</t>
  </si>
  <si>
    <t>через месяц, 60%</t>
  </si>
  <si>
    <t>Итого поступления от продаж</t>
  </si>
  <si>
    <t>1. Поступления от продаж</t>
  </si>
  <si>
    <t>2. Оплата материалов (книги произведены за два месяца до продажи; оплата через два месяца)</t>
  </si>
  <si>
    <t>3. Переменные накладные расходы (оплачиваются на следующий месяц, в апреле вырастут на 25%)</t>
  </si>
  <si>
    <t>Произведено, шт.</t>
  </si>
  <si>
    <t>(10) * 5</t>
  </si>
  <si>
    <t>(10) * 2</t>
  </si>
  <si>
    <t>4. Заработная плата (3/4 оплачивается сразу, 1/4 - на следующий месяц, в марте вырастет на 12,5%)</t>
  </si>
  <si>
    <t>(10) * 4</t>
  </si>
  <si>
    <t>(10)* 4* (1+12,%)</t>
  </si>
  <si>
    <t>75% в текущем месяце</t>
  </si>
  <si>
    <t>25% в следующем месяце</t>
  </si>
  <si>
    <t>Итого выплата зарплаты</t>
  </si>
  <si>
    <t>Поступления</t>
  </si>
  <si>
    <t>Продажи книг в кредит</t>
  </si>
  <si>
    <t>Продажа недвижимости</t>
  </si>
  <si>
    <t>Платежи</t>
  </si>
  <si>
    <t>Материалы</t>
  </si>
  <si>
    <t>Переменные накладные расходы</t>
  </si>
  <si>
    <t>Зарплата</t>
  </si>
  <si>
    <t>Основные средства</t>
  </si>
  <si>
    <t>Налог на прибыль</t>
  </si>
  <si>
    <t>Чистый поток денежных средсвт</t>
  </si>
  <si>
    <t>Накопленный остаток</t>
  </si>
  <si>
    <t>Следующий год</t>
  </si>
  <si>
    <t>Отчет о прибылях и убытках</t>
  </si>
  <si>
    <t>Выручка</t>
  </si>
  <si>
    <t>Минус</t>
  </si>
  <si>
    <t>Операционные расходы</t>
  </si>
  <si>
    <t>Операционная прибыль</t>
  </si>
  <si>
    <t>Расходы на проценты</t>
  </si>
  <si>
    <t>Прибыль до налогообложения</t>
  </si>
  <si>
    <t>Прибыль после налогообложения</t>
  </si>
  <si>
    <t>Объявленные дивиденды</t>
  </si>
  <si>
    <t>Текущие активы и обязательства на конец года</t>
  </si>
  <si>
    <t>Запасы / незавершенное производство</t>
  </si>
  <si>
    <t>Торговая дебиторская задолженность</t>
  </si>
  <si>
    <t>Денежные средства</t>
  </si>
  <si>
    <t>Кредиторская задолженность перед поставщиками</t>
  </si>
  <si>
    <t>Прочая кредиторская задолженность (налоги и дивиденды)</t>
  </si>
  <si>
    <t>Овердрафт</t>
  </si>
  <si>
    <t>Чистые текущие активы / обязательства</t>
  </si>
  <si>
    <t>Себестоимость продаж включает амортизацию</t>
  </si>
  <si>
    <t>Себестоимость продаж (см. примечание)</t>
  </si>
  <si>
    <t>Примечание</t>
  </si>
  <si>
    <t>Текущий 
год</t>
  </si>
  <si>
    <t>Прибыль от операций</t>
  </si>
  <si>
    <t>Амортизация</t>
  </si>
  <si>
    <t>Изменение запасов</t>
  </si>
  <si>
    <t>Операционный денежный поток</t>
  </si>
  <si>
    <t>Выплаченные проценты</t>
  </si>
  <si>
    <t>Уплаченный налог</t>
  </si>
  <si>
    <t>Выплаченные дивиденды</t>
  </si>
  <si>
    <t>Инвестиционная деятельность</t>
  </si>
  <si>
    <t>Приобретение основных средств</t>
  </si>
  <si>
    <t>Чистый денежный поток</t>
  </si>
  <si>
    <t>Остаток на начало периода</t>
  </si>
  <si>
    <t>Остаток на конец периода</t>
  </si>
  <si>
    <t>Существующая политика без изменений</t>
  </si>
  <si>
    <t>Предлагаемые изменения внедрены</t>
  </si>
  <si>
    <t>изменение дебиторской задолженности к текущему году</t>
  </si>
  <si>
    <t>изменение кредиторской задолженности перед поставщиками к текущему году</t>
  </si>
  <si>
    <t>Изменение запасов к текущему году</t>
  </si>
  <si>
    <t>Проект бюджета на следующий год</t>
  </si>
  <si>
    <t>Прибыль от операций:</t>
  </si>
  <si>
    <t>Скидка 2% для половины выручки</t>
  </si>
  <si>
    <t>Себестоимость (3224 - 225)*95% + 225</t>
  </si>
  <si>
    <t>Изменения внедрены</t>
  </si>
  <si>
    <t>Операционные расходы (без изменений)</t>
  </si>
  <si>
    <t>Уменьшение суммы дебиторской задолженности</t>
  </si>
  <si>
    <t>дней</t>
  </si>
  <si>
    <t>520 - (5200/2/365*53 + 5200/2/365*10)</t>
  </si>
  <si>
    <t>Уменьшение суммы кредиторской задолженности перед поставщиками</t>
  </si>
  <si>
    <t>320 - 2849*30/365</t>
  </si>
  <si>
    <t>350 - 625*90%</t>
  </si>
  <si>
    <t>средний срок дибиторки (без внедрения изменений)</t>
  </si>
  <si>
    <t>Этот срок (53 дня) уменьшится до 10 дней для половины дебиторки</t>
  </si>
  <si>
    <t>Прогнозная кредиторская задолженность перед поставщиками 3224 -224 = 2999 уменьшится на 5% до 2849</t>
  </si>
  <si>
    <t>Дата приобретения</t>
  </si>
  <si>
    <t>Дата погашения</t>
  </si>
  <si>
    <t>Купонная ставка</t>
  </si>
  <si>
    <t>Доходность</t>
  </si>
  <si>
    <t>Стоимость</t>
  </si>
  <si>
    <t>Номинальная стоимсть</t>
  </si>
  <si>
    <t>(выплачивается раз в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</si>
</sst>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0.0"/>
    <numFmt numFmtId="166" formatCode="[$$-409]#,##0"/>
    <numFmt numFmtId="168" formatCode="[$$-409]#,##0.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164" fontId="0" fillId="0" borderId="3" xfId="0" applyNumberFormat="1" applyBorder="1"/>
    <xf numFmtId="0" fontId="1" fillId="0" borderId="0" xfId="0" applyFont="1"/>
    <xf numFmtId="0" fontId="1" fillId="3" borderId="0" xfId="0" applyFont="1" applyFill="1"/>
    <xf numFmtId="164" fontId="1" fillId="3" borderId="0" xfId="0" applyNumberFormat="1" applyFont="1" applyFill="1"/>
    <xf numFmtId="0" fontId="4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0" fontId="7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wrapText="1"/>
    </xf>
    <xf numFmtId="1" fontId="0" fillId="0" borderId="4" xfId="0" applyNumberFormat="1" applyBorder="1"/>
    <xf numFmtId="0" fontId="0" fillId="0" borderId="0" xfId="0" applyAlignment="1"/>
    <xf numFmtId="1" fontId="0" fillId="0" borderId="1" xfId="0" applyNumberFormat="1" applyBorder="1"/>
    <xf numFmtId="1" fontId="0" fillId="0" borderId="2" xfId="0" applyNumberFormat="1" applyBorder="1"/>
    <xf numFmtId="0" fontId="0" fillId="0" borderId="0" xfId="0" applyAlignment="1">
      <alignment horizontal="left" vertical="top" wrapText="1"/>
    </xf>
    <xf numFmtId="15" fontId="0" fillId="0" borderId="0" xfId="0" applyNumberFormat="1"/>
    <xf numFmtId="9" fontId="0" fillId="0" borderId="0" xfId="0" applyNumberFormat="1"/>
    <xf numFmtId="166" fontId="0" fillId="0" borderId="0" xfId="0" applyNumberFormat="1"/>
    <xf numFmtId="168" fontId="0" fillId="0" borderId="0" xfId="0" applyNumberFormat="1"/>
    <xf numFmtId="10" fontId="0" fillId="0" borderId="0" xfId="0" applyNumberFormat="1"/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Рис.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1</xdr:rowOff>
    </xdr:from>
    <xdr:to>
      <xdr:col>16</xdr:col>
      <xdr:colOff>47625</xdr:colOff>
      <xdr:row>2</xdr:row>
      <xdr:rowOff>152401</xdr:rowOff>
    </xdr:to>
    <xdr:pic>
      <xdr:nvPicPr>
        <xdr:cNvPr id="2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667"/>
        <a:stretch/>
      </xdr:blipFill>
      <xdr:spPr bwMode="auto">
        <a:xfrm>
          <a:off x="5438775" y="1"/>
          <a:ext cx="61055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17" sqref="L17"/>
    </sheetView>
  </sheetViews>
  <sheetFormatPr defaultRowHeight="15" x14ac:dyDescent="0.25"/>
  <cols>
    <col min="1" max="1" width="28.42578125" style="3" customWidth="1"/>
    <col min="2" max="9" width="8.7109375" customWidth="1"/>
  </cols>
  <sheetData>
    <row r="1" spans="1:13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pans="1:13" x14ac:dyDescent="0.25">
      <c r="A2" s="3" t="s">
        <v>11</v>
      </c>
      <c r="B2">
        <v>1000</v>
      </c>
      <c r="C2">
        <v>1000</v>
      </c>
      <c r="D2">
        <v>1000</v>
      </c>
      <c r="E2">
        <v>1250</v>
      </c>
      <c r="F2" s="1">
        <v>1500</v>
      </c>
      <c r="G2" s="1">
        <v>2000</v>
      </c>
      <c r="H2" s="1">
        <v>1900</v>
      </c>
      <c r="I2" s="1">
        <v>2200</v>
      </c>
      <c r="J2" s="1">
        <v>2200</v>
      </c>
      <c r="K2" s="1">
        <v>2300</v>
      </c>
      <c r="L2" s="1"/>
    </row>
    <row r="3" spans="1:13" x14ac:dyDescent="0.25">
      <c r="A3" s="4" t="s">
        <v>17</v>
      </c>
      <c r="B3" s="6"/>
      <c r="C3" s="6"/>
      <c r="F3" s="1"/>
      <c r="G3" s="1"/>
      <c r="H3" s="1"/>
      <c r="I3" s="1"/>
      <c r="J3" s="1"/>
      <c r="K3" s="2"/>
      <c r="L3" s="1"/>
      <c r="M3" s="1"/>
    </row>
    <row r="4" spans="1:13" x14ac:dyDescent="0.25">
      <c r="A4" s="3" t="s">
        <v>12</v>
      </c>
      <c r="B4" s="6">
        <f>B2*15</f>
        <v>15000</v>
      </c>
      <c r="C4" s="6">
        <f t="shared" ref="C4:I4" si="0">C2*15</f>
        <v>15000</v>
      </c>
      <c r="D4" s="7">
        <f t="shared" si="0"/>
        <v>15000</v>
      </c>
      <c r="E4" s="7">
        <f t="shared" si="0"/>
        <v>18750</v>
      </c>
      <c r="F4" s="7">
        <f t="shared" si="0"/>
        <v>22500</v>
      </c>
      <c r="G4" s="7">
        <f t="shared" si="0"/>
        <v>30000</v>
      </c>
      <c r="H4" s="7">
        <f t="shared" si="0"/>
        <v>28500</v>
      </c>
      <c r="I4" s="7">
        <f t="shared" si="0"/>
        <v>33000</v>
      </c>
    </row>
    <row r="5" spans="1:13" x14ac:dyDescent="0.25">
      <c r="A5" s="3" t="s">
        <v>13</v>
      </c>
    </row>
    <row r="6" spans="1:13" x14ac:dyDescent="0.25">
      <c r="A6" s="3" t="s">
        <v>14</v>
      </c>
      <c r="C6">
        <f>B4*40%</f>
        <v>6000</v>
      </c>
      <c r="D6">
        <f t="shared" ref="D6:I6" si="1">C4*40%</f>
        <v>6000</v>
      </c>
      <c r="E6">
        <f t="shared" si="1"/>
        <v>6000</v>
      </c>
      <c r="F6">
        <f t="shared" si="1"/>
        <v>7500</v>
      </c>
      <c r="G6">
        <f t="shared" si="1"/>
        <v>9000</v>
      </c>
      <c r="H6">
        <f t="shared" si="1"/>
        <v>12000</v>
      </c>
      <c r="I6">
        <f t="shared" si="1"/>
        <v>11400</v>
      </c>
    </row>
    <row r="7" spans="1:13" x14ac:dyDescent="0.25">
      <c r="A7" s="3" t="s">
        <v>15</v>
      </c>
      <c r="D7">
        <f t="shared" ref="D7:I7" si="2">B4*60%</f>
        <v>9000</v>
      </c>
      <c r="E7">
        <f t="shared" si="2"/>
        <v>9000</v>
      </c>
      <c r="F7">
        <f t="shared" si="2"/>
        <v>9000</v>
      </c>
      <c r="G7">
        <f t="shared" si="2"/>
        <v>11250</v>
      </c>
      <c r="H7">
        <f t="shared" si="2"/>
        <v>13500</v>
      </c>
      <c r="I7">
        <f t="shared" si="2"/>
        <v>18000</v>
      </c>
    </row>
    <row r="8" spans="1:13" x14ac:dyDescent="0.25">
      <c r="A8" s="3" t="s">
        <v>16</v>
      </c>
      <c r="B8" s="6">
        <f>SUM(B6:B7)</f>
        <v>0</v>
      </c>
      <c r="C8" s="6">
        <f t="shared" ref="C8:I8" si="3">SUM(C6:C7)</f>
        <v>6000</v>
      </c>
      <c r="D8" s="5">
        <f t="shared" si="3"/>
        <v>15000</v>
      </c>
      <c r="E8" s="5">
        <f t="shared" si="3"/>
        <v>15000</v>
      </c>
      <c r="F8" s="5">
        <f t="shared" si="3"/>
        <v>16500</v>
      </c>
      <c r="G8" s="5">
        <f t="shared" si="3"/>
        <v>20250</v>
      </c>
      <c r="H8" s="5">
        <f t="shared" si="3"/>
        <v>25500</v>
      </c>
      <c r="I8" s="5">
        <f t="shared" si="3"/>
        <v>29400</v>
      </c>
    </row>
    <row r="9" spans="1:13" x14ac:dyDescent="0.25">
      <c r="A9" s="4" t="s">
        <v>18</v>
      </c>
    </row>
    <row r="10" spans="1:13" x14ac:dyDescent="0.25">
      <c r="A10" s="3" t="s">
        <v>20</v>
      </c>
      <c r="B10">
        <f>D2</f>
        <v>1000</v>
      </c>
      <c r="C10">
        <f t="shared" ref="C10:I10" si="4">E2</f>
        <v>1250</v>
      </c>
      <c r="D10">
        <f t="shared" si="4"/>
        <v>1500</v>
      </c>
      <c r="E10">
        <f t="shared" si="4"/>
        <v>2000</v>
      </c>
      <c r="F10">
        <f t="shared" si="4"/>
        <v>1900</v>
      </c>
      <c r="G10">
        <f t="shared" si="4"/>
        <v>2200</v>
      </c>
      <c r="H10">
        <f t="shared" si="4"/>
        <v>2200</v>
      </c>
      <c r="I10">
        <f t="shared" si="4"/>
        <v>2300</v>
      </c>
    </row>
    <row r="11" spans="1:13" x14ac:dyDescent="0.25">
      <c r="A11" s="3" t="s">
        <v>21</v>
      </c>
      <c r="D11" s="5">
        <f t="shared" ref="D11:I11" si="5">B10*5</f>
        <v>5000</v>
      </c>
      <c r="E11" s="5">
        <f t="shared" si="5"/>
        <v>6250</v>
      </c>
      <c r="F11" s="5">
        <f t="shared" si="5"/>
        <v>7500</v>
      </c>
      <c r="G11" s="5">
        <f t="shared" si="5"/>
        <v>10000</v>
      </c>
      <c r="H11" s="5">
        <f t="shared" si="5"/>
        <v>9500</v>
      </c>
      <c r="I11" s="5">
        <f t="shared" si="5"/>
        <v>11000</v>
      </c>
    </row>
    <row r="12" spans="1:13" x14ac:dyDescent="0.25">
      <c r="A12" s="4" t="s">
        <v>19</v>
      </c>
    </row>
    <row r="13" spans="1:13" x14ac:dyDescent="0.25">
      <c r="A13" s="3" t="s">
        <v>22</v>
      </c>
      <c r="C13">
        <f>B10*2</f>
        <v>2000</v>
      </c>
      <c r="D13" s="5">
        <f>C10*2</f>
        <v>2500</v>
      </c>
      <c r="E13" s="5">
        <f>D10*2</f>
        <v>3000</v>
      </c>
      <c r="F13" s="5">
        <f>E10*2</f>
        <v>4000</v>
      </c>
      <c r="G13" s="5">
        <f>F10*2</f>
        <v>3800</v>
      </c>
      <c r="H13" s="5">
        <f>G10*2*1.25</f>
        <v>5500</v>
      </c>
      <c r="I13" s="5">
        <f>H10*2*1.25</f>
        <v>5500</v>
      </c>
    </row>
    <row r="14" spans="1:13" x14ac:dyDescent="0.25">
      <c r="A14" s="4" t="s">
        <v>23</v>
      </c>
    </row>
    <row r="15" spans="1:13" x14ac:dyDescent="0.25">
      <c r="A15" s="3" t="s">
        <v>24</v>
      </c>
      <c r="C15">
        <f>C10*4</f>
        <v>5000</v>
      </c>
      <c r="D15">
        <f>D10*4</f>
        <v>6000</v>
      </c>
      <c r="E15">
        <f>E10*4</f>
        <v>8000</v>
      </c>
    </row>
    <row r="16" spans="1:13" x14ac:dyDescent="0.25">
      <c r="A16" s="8" t="s">
        <v>25</v>
      </c>
      <c r="F16">
        <f>F10*4*(1+12.5%)</f>
        <v>8550</v>
      </c>
      <c r="G16">
        <f>G10*4*(1+12.5%)</f>
        <v>9900</v>
      </c>
      <c r="H16">
        <f>H10*4*(1+12.5%)</f>
        <v>9900</v>
      </c>
      <c r="I16">
        <f>I10*4*(1+12.5%)</f>
        <v>10350</v>
      </c>
    </row>
    <row r="17" spans="1:9" x14ac:dyDescent="0.25">
      <c r="A17" s="8" t="s">
        <v>26</v>
      </c>
      <c r="C17">
        <f>SUM(C15:C16)*75%</f>
        <v>3750</v>
      </c>
      <c r="D17">
        <f t="shared" ref="D17:I17" si="6">SUM(D15:D16)*75%</f>
        <v>4500</v>
      </c>
      <c r="E17">
        <f t="shared" si="6"/>
        <v>6000</v>
      </c>
      <c r="F17">
        <f t="shared" si="6"/>
        <v>6412.5</v>
      </c>
      <c r="G17">
        <f t="shared" si="6"/>
        <v>7425</v>
      </c>
      <c r="H17">
        <f t="shared" si="6"/>
        <v>7425</v>
      </c>
      <c r="I17">
        <f t="shared" si="6"/>
        <v>7762.5</v>
      </c>
    </row>
    <row r="18" spans="1:9" x14ac:dyDescent="0.25">
      <c r="A18" s="8" t="s">
        <v>27</v>
      </c>
      <c r="D18">
        <f t="shared" ref="D18:I18" si="7">SUM(C15:C16)*25%</f>
        <v>1250</v>
      </c>
      <c r="E18">
        <f t="shared" si="7"/>
        <v>1500</v>
      </c>
      <c r="F18">
        <f t="shared" si="7"/>
        <v>2000</v>
      </c>
      <c r="G18">
        <f t="shared" si="7"/>
        <v>2137.5</v>
      </c>
      <c r="H18">
        <f t="shared" si="7"/>
        <v>2475</v>
      </c>
      <c r="I18">
        <f t="shared" si="7"/>
        <v>2475</v>
      </c>
    </row>
    <row r="19" spans="1:9" x14ac:dyDescent="0.25">
      <c r="A19" s="8" t="s">
        <v>28</v>
      </c>
      <c r="D19" s="5">
        <f t="shared" ref="D19:I19" si="8">SUM(D17:D18)</f>
        <v>5750</v>
      </c>
      <c r="E19" s="5">
        <f t="shared" si="8"/>
        <v>7500</v>
      </c>
      <c r="F19" s="5">
        <f t="shared" si="8"/>
        <v>8412.5</v>
      </c>
      <c r="G19" s="5">
        <f t="shared" si="8"/>
        <v>9562.5</v>
      </c>
      <c r="H19" s="5">
        <f t="shared" si="8"/>
        <v>9900</v>
      </c>
      <c r="I19" s="5">
        <f t="shared" si="8"/>
        <v>10237.5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0" sqref="D20"/>
    </sheetView>
  </sheetViews>
  <sheetFormatPr defaultRowHeight="15" x14ac:dyDescent="0.25"/>
  <cols>
    <col min="1" max="1" width="32.5703125" bestFit="1" customWidth="1"/>
  </cols>
  <sheetData>
    <row r="1" spans="1:7" x14ac:dyDescent="0.25">
      <c r="A1" s="17" t="s">
        <v>0</v>
      </c>
      <c r="B1" s="18" t="s">
        <v>3</v>
      </c>
      <c r="C1" s="18" t="s">
        <v>4</v>
      </c>
      <c r="D1" s="19" t="s">
        <v>5</v>
      </c>
      <c r="E1" s="18" t="s">
        <v>6</v>
      </c>
      <c r="F1" s="18" t="s">
        <v>7</v>
      </c>
      <c r="G1" s="18" t="s">
        <v>8</v>
      </c>
    </row>
    <row r="2" spans="1:7" x14ac:dyDescent="0.25">
      <c r="A2" t="s">
        <v>29</v>
      </c>
    </row>
    <row r="3" spans="1:7" x14ac:dyDescent="0.25">
      <c r="A3" t="s">
        <v>30</v>
      </c>
      <c r="B3" s="12">
        <f>'Рис. 1 и 2'!D8</f>
        <v>15000</v>
      </c>
      <c r="C3" s="12">
        <f>'Рис. 1 и 2'!E8</f>
        <v>15000</v>
      </c>
      <c r="D3" s="12">
        <f>'Рис. 1 и 2'!F8</f>
        <v>16500</v>
      </c>
      <c r="E3" s="12">
        <f>'Рис. 1 и 2'!G8</f>
        <v>20250</v>
      </c>
      <c r="F3" s="12">
        <f>'Рис. 1 и 2'!H8</f>
        <v>25500</v>
      </c>
      <c r="G3" s="12">
        <f>'Рис. 1 и 2'!I8</f>
        <v>29400</v>
      </c>
    </row>
    <row r="4" spans="1:7" x14ac:dyDescent="0.25">
      <c r="A4" t="s">
        <v>31</v>
      </c>
      <c r="B4" s="12"/>
      <c r="C4" s="12"/>
      <c r="D4" s="12"/>
      <c r="E4" s="12"/>
      <c r="F4" s="12">
        <v>25000</v>
      </c>
      <c r="G4" s="12"/>
    </row>
    <row r="5" spans="1:7" ht="15.75" thickBot="1" x14ac:dyDescent="0.3">
      <c r="B5" s="13">
        <f t="shared" ref="B5:G5" si="0">B3+B4</f>
        <v>15000</v>
      </c>
      <c r="C5" s="13">
        <f t="shared" si="0"/>
        <v>15000</v>
      </c>
      <c r="D5" s="13">
        <f t="shared" si="0"/>
        <v>16500</v>
      </c>
      <c r="E5" s="13">
        <f t="shared" si="0"/>
        <v>20250</v>
      </c>
      <c r="F5" s="13">
        <f t="shared" si="0"/>
        <v>50500</v>
      </c>
      <c r="G5" s="13">
        <f t="shared" si="0"/>
        <v>29400</v>
      </c>
    </row>
    <row r="6" spans="1:7" ht="15.75" thickTop="1" x14ac:dyDescent="0.25">
      <c r="A6" t="s">
        <v>32</v>
      </c>
      <c r="B6" s="12"/>
      <c r="C6" s="12"/>
      <c r="D6" s="12"/>
      <c r="E6" s="12"/>
      <c r="F6" s="12"/>
      <c r="G6" s="12"/>
    </row>
    <row r="7" spans="1:7" x14ac:dyDescent="0.25">
      <c r="A7" t="s">
        <v>33</v>
      </c>
      <c r="B7" s="12">
        <f>'Рис. 1 и 2'!D11</f>
        <v>5000</v>
      </c>
      <c r="C7" s="12">
        <f>'Рис. 1 и 2'!E11</f>
        <v>6250</v>
      </c>
      <c r="D7" s="12">
        <f>'Рис. 1 и 2'!F11</f>
        <v>7500</v>
      </c>
      <c r="E7" s="12">
        <f>'Рис. 1 и 2'!G11</f>
        <v>10000</v>
      </c>
      <c r="F7" s="12">
        <f>'Рис. 1 и 2'!H11</f>
        <v>9500</v>
      </c>
      <c r="G7" s="12">
        <f>'Рис. 1 и 2'!I11</f>
        <v>11000</v>
      </c>
    </row>
    <row r="8" spans="1:7" x14ac:dyDescent="0.25">
      <c r="A8" t="s">
        <v>34</v>
      </c>
      <c r="B8" s="12">
        <f>'Рис. 1 и 2'!D13</f>
        <v>2500</v>
      </c>
      <c r="C8" s="12">
        <f>'Рис. 1 и 2'!E13</f>
        <v>3000</v>
      </c>
      <c r="D8" s="12">
        <f>'Рис. 1 и 2'!F13</f>
        <v>4000</v>
      </c>
      <c r="E8" s="12">
        <f>'Рис. 1 и 2'!G13</f>
        <v>3800</v>
      </c>
      <c r="F8" s="12">
        <f>'Рис. 1 и 2'!H13</f>
        <v>5500</v>
      </c>
      <c r="G8" s="12">
        <f>'Рис. 1 и 2'!I13</f>
        <v>5500</v>
      </c>
    </row>
    <row r="9" spans="1:7" x14ac:dyDescent="0.25">
      <c r="A9" t="s">
        <v>35</v>
      </c>
      <c r="B9" s="12">
        <f>'Рис. 1 и 2'!D19</f>
        <v>5750</v>
      </c>
      <c r="C9" s="12">
        <f>'Рис. 1 и 2'!E19</f>
        <v>7500</v>
      </c>
      <c r="D9" s="12">
        <f>'Рис. 1 и 2'!F19</f>
        <v>8412.5</v>
      </c>
      <c r="E9" s="12">
        <f>'Рис. 1 и 2'!G19</f>
        <v>9562.5</v>
      </c>
      <c r="F9" s="12">
        <f>'Рис. 1 и 2'!H19</f>
        <v>9900</v>
      </c>
      <c r="G9" s="12">
        <f>'Рис. 1 и 2'!I19</f>
        <v>10237.5</v>
      </c>
    </row>
    <row r="10" spans="1:7" x14ac:dyDescent="0.25">
      <c r="A10" t="s">
        <v>36</v>
      </c>
      <c r="B10" s="12"/>
      <c r="C10" s="12"/>
      <c r="D10" s="12"/>
      <c r="E10" s="12"/>
      <c r="F10" s="12">
        <v>10000</v>
      </c>
      <c r="G10" s="12"/>
    </row>
    <row r="11" spans="1:7" x14ac:dyDescent="0.25">
      <c r="A11" t="s">
        <v>37</v>
      </c>
      <c r="B11" s="12"/>
      <c r="C11" s="12"/>
      <c r="D11" s="12">
        <v>10000</v>
      </c>
      <c r="E11" s="12"/>
      <c r="F11" s="12"/>
      <c r="G11" s="12"/>
    </row>
    <row r="12" spans="1:7" ht="15.75" thickBot="1" x14ac:dyDescent="0.3">
      <c r="B12" s="13">
        <f t="shared" ref="B12:G12" si="1">SUM(B7:B11)</f>
        <v>13250</v>
      </c>
      <c r="C12" s="13">
        <f t="shared" si="1"/>
        <v>16750</v>
      </c>
      <c r="D12" s="13">
        <f t="shared" si="1"/>
        <v>29912.5</v>
      </c>
      <c r="E12" s="13">
        <f t="shared" si="1"/>
        <v>23362.5</v>
      </c>
      <c r="F12" s="13">
        <f t="shared" si="1"/>
        <v>34900</v>
      </c>
      <c r="G12" s="13">
        <f t="shared" si="1"/>
        <v>26737.5</v>
      </c>
    </row>
    <row r="13" spans="1:7" ht="15.75" thickTop="1" x14ac:dyDescent="0.25">
      <c r="A13" t="s">
        <v>38</v>
      </c>
      <c r="B13" s="12">
        <f t="shared" ref="B13:G13" si="2">B5-B12</f>
        <v>1750</v>
      </c>
      <c r="C13" s="12">
        <f t="shared" si="2"/>
        <v>-1750</v>
      </c>
      <c r="D13" s="12">
        <f t="shared" si="2"/>
        <v>-13412.5</v>
      </c>
      <c r="E13" s="12">
        <f t="shared" si="2"/>
        <v>-3112.5</v>
      </c>
      <c r="F13" s="12">
        <f t="shared" si="2"/>
        <v>15600</v>
      </c>
      <c r="G13" s="12">
        <f t="shared" si="2"/>
        <v>2662.5</v>
      </c>
    </row>
    <row r="14" spans="1:7" x14ac:dyDescent="0.25">
      <c r="A14" s="15" t="s">
        <v>39</v>
      </c>
      <c r="B14" s="16">
        <f>B13+1500</f>
        <v>3250</v>
      </c>
      <c r="C14" s="16">
        <f>B14+C13</f>
        <v>1500</v>
      </c>
      <c r="D14" s="16">
        <f>C14+D13</f>
        <v>-11912.5</v>
      </c>
      <c r="E14" s="16">
        <f>D14+E13</f>
        <v>-15025</v>
      </c>
      <c r="F14" s="16">
        <f>E14+F13</f>
        <v>575</v>
      </c>
      <c r="G14" s="16">
        <f>F14+G13</f>
        <v>3237.5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30" sqref="B30"/>
    </sheetView>
  </sheetViews>
  <sheetFormatPr defaultRowHeight="15" x14ac:dyDescent="0.25"/>
  <cols>
    <col min="1" max="1" width="55.7109375" customWidth="1"/>
    <col min="2" max="3" width="12.7109375" customWidth="1"/>
  </cols>
  <sheetData>
    <row r="1" spans="1:3" ht="30" x14ac:dyDescent="0.25">
      <c r="B1" s="22" t="s">
        <v>40</v>
      </c>
      <c r="C1" s="22" t="s">
        <v>61</v>
      </c>
    </row>
    <row r="2" spans="1:3" x14ac:dyDescent="0.25">
      <c r="A2" s="14" t="s">
        <v>41</v>
      </c>
    </row>
    <row r="3" spans="1:3" x14ac:dyDescent="0.25">
      <c r="A3" t="s">
        <v>42</v>
      </c>
      <c r="B3">
        <v>5200</v>
      </c>
      <c r="C3">
        <v>4200</v>
      </c>
    </row>
    <row r="4" spans="1:3" x14ac:dyDescent="0.25">
      <c r="A4" s="20" t="s">
        <v>43</v>
      </c>
    </row>
    <row r="5" spans="1:3" x14ac:dyDescent="0.25">
      <c r="A5" t="s">
        <v>59</v>
      </c>
      <c r="B5">
        <v>3224</v>
      </c>
      <c r="C5">
        <v>2520</v>
      </c>
    </row>
    <row r="6" spans="1:3" x14ac:dyDescent="0.25">
      <c r="A6" t="s">
        <v>44</v>
      </c>
      <c r="B6">
        <v>650</v>
      </c>
      <c r="C6">
        <v>500</v>
      </c>
    </row>
    <row r="7" spans="1:3" x14ac:dyDescent="0.25">
      <c r="A7" t="s">
        <v>45</v>
      </c>
      <c r="B7" s="7">
        <f>B3-B5-B6</f>
        <v>1326</v>
      </c>
      <c r="C7" s="7">
        <f>C3-C5-C6</f>
        <v>1180</v>
      </c>
    </row>
    <row r="8" spans="1:3" ht="6" customHeight="1" x14ac:dyDescent="0.25"/>
    <row r="9" spans="1:3" x14ac:dyDescent="0.25">
      <c r="A9" t="s">
        <v>46</v>
      </c>
      <c r="B9">
        <v>54</v>
      </c>
      <c r="C9">
        <v>48</v>
      </c>
    </row>
    <row r="10" spans="1:3" x14ac:dyDescent="0.25">
      <c r="A10" t="s">
        <v>47</v>
      </c>
      <c r="B10" s="7">
        <f>B7-B9</f>
        <v>1272</v>
      </c>
      <c r="C10" s="7">
        <f>C7-C9</f>
        <v>1132</v>
      </c>
    </row>
    <row r="11" spans="1:3" x14ac:dyDescent="0.25">
      <c r="A11" t="s">
        <v>37</v>
      </c>
      <c r="B11">
        <v>305</v>
      </c>
      <c r="C11">
        <v>283</v>
      </c>
    </row>
    <row r="12" spans="1:3" x14ac:dyDescent="0.25">
      <c r="A12" t="s">
        <v>48</v>
      </c>
      <c r="B12" s="7">
        <f>B10-B11</f>
        <v>967</v>
      </c>
      <c r="C12" s="7">
        <f>C10-C11</f>
        <v>849</v>
      </c>
    </row>
    <row r="13" spans="1:3" x14ac:dyDescent="0.25">
      <c r="A13" t="s">
        <v>49</v>
      </c>
      <c r="B13" s="7">
        <v>387</v>
      </c>
      <c r="C13" s="7">
        <v>339</v>
      </c>
    </row>
    <row r="14" spans="1:3" ht="7.5" customHeight="1" x14ac:dyDescent="0.25"/>
    <row r="15" spans="1:3" x14ac:dyDescent="0.25">
      <c r="A15" s="14" t="s">
        <v>50</v>
      </c>
    </row>
    <row r="16" spans="1:3" x14ac:dyDescent="0.25">
      <c r="A16" t="s">
        <v>51</v>
      </c>
      <c r="B16">
        <v>625</v>
      </c>
      <c r="C16">
        <v>350</v>
      </c>
    </row>
    <row r="17" spans="1:3" x14ac:dyDescent="0.25">
      <c r="A17" t="s">
        <v>52</v>
      </c>
      <c r="B17">
        <v>750</v>
      </c>
      <c r="C17">
        <v>520</v>
      </c>
    </row>
    <row r="18" spans="1:3" x14ac:dyDescent="0.25">
      <c r="A18" t="s">
        <v>53</v>
      </c>
      <c r="B18">
        <v>0</v>
      </c>
      <c r="C18">
        <v>25</v>
      </c>
    </row>
    <row r="19" spans="1:3" x14ac:dyDescent="0.25">
      <c r="A19" t="s">
        <v>54</v>
      </c>
      <c r="B19">
        <v>-464</v>
      </c>
      <c r="C19">
        <v>-320</v>
      </c>
    </row>
    <row r="20" spans="1:3" x14ac:dyDescent="0.25">
      <c r="A20" t="s">
        <v>55</v>
      </c>
      <c r="B20">
        <v>-692</v>
      </c>
      <c r="C20">
        <v>-622</v>
      </c>
    </row>
    <row r="21" spans="1:3" x14ac:dyDescent="0.25">
      <c r="A21" t="s">
        <v>56</v>
      </c>
      <c r="B21">
        <v>-11</v>
      </c>
      <c r="C21">
        <v>0</v>
      </c>
    </row>
    <row r="22" spans="1:3" x14ac:dyDescent="0.25">
      <c r="A22" t="s">
        <v>57</v>
      </c>
      <c r="B22" s="7">
        <f>SUM(B16:B21)</f>
        <v>208</v>
      </c>
      <c r="C22" s="7">
        <f>SUM(C16:C21)</f>
        <v>-47</v>
      </c>
    </row>
    <row r="23" spans="1:3" x14ac:dyDescent="0.25">
      <c r="A23" s="21" t="s">
        <v>60</v>
      </c>
      <c r="B23" s="7"/>
      <c r="C23" s="7"/>
    </row>
    <row r="24" spans="1:3" x14ac:dyDescent="0.25">
      <c r="A24" t="s">
        <v>58</v>
      </c>
      <c r="B24">
        <v>225</v>
      </c>
      <c r="C24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1" width="41.7109375" style="23" customWidth="1"/>
    <col min="2" max="3" width="15.7109375" customWidth="1"/>
  </cols>
  <sheetData>
    <row r="1" spans="1:3" ht="45" x14ac:dyDescent="0.25">
      <c r="A1" s="40" t="s">
        <v>79</v>
      </c>
      <c r="B1" s="24" t="s">
        <v>74</v>
      </c>
      <c r="C1" s="24" t="s">
        <v>75</v>
      </c>
    </row>
    <row r="2" spans="1:3" x14ac:dyDescent="0.25">
      <c r="A2" s="27" t="s">
        <v>62</v>
      </c>
      <c r="B2">
        <f>'Рис. 4'!B7</f>
        <v>1326</v>
      </c>
      <c r="C2" s="26">
        <f>B23</f>
        <v>1423.9500000000003</v>
      </c>
    </row>
    <row r="3" spans="1:3" x14ac:dyDescent="0.25">
      <c r="A3" s="27" t="s">
        <v>63</v>
      </c>
      <c r="B3">
        <f>'Рис. 4'!B24</f>
        <v>225</v>
      </c>
      <c r="C3">
        <f>B3</f>
        <v>225</v>
      </c>
    </row>
    <row r="4" spans="1:3" ht="30" x14ac:dyDescent="0.25">
      <c r="A4" s="27" t="s">
        <v>76</v>
      </c>
      <c r="B4">
        <f>'Рис. 4'!C17-'Рис. 4'!B17</f>
        <v>-230</v>
      </c>
      <c r="C4" s="26">
        <f>B27</f>
        <v>73.767123287671211</v>
      </c>
    </row>
    <row r="5" spans="1:3" ht="30" x14ac:dyDescent="0.25">
      <c r="A5" s="27" t="s">
        <v>77</v>
      </c>
      <c r="B5">
        <f>'Рис. 4'!C19-'Рис. 4'!B19</f>
        <v>144</v>
      </c>
      <c r="C5" s="26">
        <f>B30</f>
        <v>-85.831506849315105</v>
      </c>
    </row>
    <row r="6" spans="1:3" x14ac:dyDescent="0.25">
      <c r="A6" s="27" t="s">
        <v>78</v>
      </c>
      <c r="B6" s="5">
        <f>'Рис. 4'!C16-'Рис. 4'!B16</f>
        <v>-275</v>
      </c>
      <c r="C6" s="32">
        <f>B32</f>
        <v>-212.5</v>
      </c>
    </row>
    <row r="7" spans="1:3" x14ac:dyDescent="0.25">
      <c r="A7" s="27" t="s">
        <v>65</v>
      </c>
      <c r="B7">
        <f>SUM(B2:B6)</f>
        <v>1190</v>
      </c>
      <c r="C7" s="26">
        <f>SUM(C2:C6)</f>
        <v>1424.3856164383565</v>
      </c>
    </row>
    <row r="8" spans="1:3" x14ac:dyDescent="0.25">
      <c r="A8" s="27" t="s">
        <v>66</v>
      </c>
      <c r="B8">
        <f>-'Рис. 4'!B9</f>
        <v>-54</v>
      </c>
      <c r="C8">
        <v>-45</v>
      </c>
    </row>
    <row r="9" spans="1:3" x14ac:dyDescent="0.25">
      <c r="A9" s="27" t="s">
        <v>67</v>
      </c>
      <c r="B9">
        <f>-'Рис. 4'!B11</f>
        <v>-305</v>
      </c>
      <c r="C9">
        <f>B9</f>
        <v>-305</v>
      </c>
    </row>
    <row r="10" spans="1:3" x14ac:dyDescent="0.25">
      <c r="A10" s="27" t="s">
        <v>68</v>
      </c>
      <c r="B10">
        <f>-'Рис. 4'!B13</f>
        <v>-387</v>
      </c>
      <c r="C10">
        <f>B10</f>
        <v>-387</v>
      </c>
    </row>
    <row r="11" spans="1:3" x14ac:dyDescent="0.25">
      <c r="A11" s="28" t="s">
        <v>69</v>
      </c>
    </row>
    <row r="12" spans="1:3" x14ac:dyDescent="0.25">
      <c r="A12" s="27" t="s">
        <v>70</v>
      </c>
      <c r="B12">
        <f>-550</f>
        <v>-550</v>
      </c>
      <c r="C12">
        <f>B12</f>
        <v>-550</v>
      </c>
    </row>
    <row r="13" spans="1:3" x14ac:dyDescent="0.25">
      <c r="A13" s="27" t="s">
        <v>71</v>
      </c>
      <c r="B13" s="7">
        <f>SUM(B7:B12)</f>
        <v>-106</v>
      </c>
      <c r="C13" s="33">
        <f>SUM(C7:C12)</f>
        <v>137.38561643835646</v>
      </c>
    </row>
    <row r="14" spans="1:3" x14ac:dyDescent="0.25">
      <c r="A14" s="27" t="s">
        <v>72</v>
      </c>
      <c r="B14">
        <v>25</v>
      </c>
      <c r="C14">
        <f>B14</f>
        <v>25</v>
      </c>
    </row>
    <row r="15" spans="1:3" x14ac:dyDescent="0.25">
      <c r="A15" s="27" t="s">
        <v>73</v>
      </c>
      <c r="B15" s="7">
        <f>SUM(B13:B14)</f>
        <v>-81</v>
      </c>
      <c r="C15" s="33">
        <f>SUM(C13:C14)</f>
        <v>162.38561643835646</v>
      </c>
    </row>
    <row r="17" spans="1:3" x14ac:dyDescent="0.25">
      <c r="A17" s="29" t="s">
        <v>83</v>
      </c>
    </row>
    <row r="18" spans="1:3" x14ac:dyDescent="0.25">
      <c r="A18" s="23" t="s">
        <v>80</v>
      </c>
    </row>
    <row r="19" spans="1:3" x14ac:dyDescent="0.25">
      <c r="A19" s="23" t="s">
        <v>42</v>
      </c>
      <c r="B19">
        <v>5200</v>
      </c>
    </row>
    <row r="20" spans="1:3" x14ac:dyDescent="0.25">
      <c r="A20" s="23" t="s">
        <v>81</v>
      </c>
      <c r="B20">
        <f>-B19/2*2%</f>
        <v>-52</v>
      </c>
    </row>
    <row r="21" spans="1:3" x14ac:dyDescent="0.25">
      <c r="A21" s="23" t="s">
        <v>82</v>
      </c>
      <c r="B21" s="26">
        <f>-('Рис. 4'!B5-'Рис. 4'!B24)*95%-'Рис. 4'!B24</f>
        <v>-3074.0499999999997</v>
      </c>
    </row>
    <row r="22" spans="1:3" x14ac:dyDescent="0.25">
      <c r="A22" s="23" t="s">
        <v>84</v>
      </c>
      <c r="B22">
        <v>-650</v>
      </c>
    </row>
    <row r="23" spans="1:3" x14ac:dyDescent="0.25">
      <c r="B23" s="30">
        <f>SUM(B19:B22)</f>
        <v>1423.9500000000003</v>
      </c>
    </row>
    <row r="24" spans="1:3" x14ac:dyDescent="0.25">
      <c r="A24" s="31" t="s">
        <v>85</v>
      </c>
    </row>
    <row r="25" spans="1:3" ht="30" x14ac:dyDescent="0.25">
      <c r="A25" s="23" t="s">
        <v>91</v>
      </c>
      <c r="B25" s="25">
        <f>365/('Рис. 4'!B3/'Рис. 4'!B17)</f>
        <v>52.644230769230766</v>
      </c>
      <c r="C25" t="s">
        <v>86</v>
      </c>
    </row>
    <row r="26" spans="1:3" x14ac:dyDescent="0.25">
      <c r="A26" s="31" t="s">
        <v>92</v>
      </c>
      <c r="B26" s="25"/>
    </row>
    <row r="27" spans="1:3" x14ac:dyDescent="0.25">
      <c r="A27" s="23" t="s">
        <v>87</v>
      </c>
      <c r="B27" s="30">
        <f>'Рис. 4'!C17-(B19/2/365*B25+B19/2/365*10)</f>
        <v>73.767123287671211</v>
      </c>
    </row>
    <row r="28" spans="1:3" x14ac:dyDescent="0.25">
      <c r="A28" s="31" t="s">
        <v>88</v>
      </c>
    </row>
    <row r="29" spans="1:3" ht="32.25" customHeight="1" x14ac:dyDescent="0.25">
      <c r="A29" s="34" t="s">
        <v>93</v>
      </c>
      <c r="B29" s="34"/>
      <c r="C29" s="34"/>
    </row>
    <row r="30" spans="1:3" x14ac:dyDescent="0.25">
      <c r="A30" s="23" t="s">
        <v>89</v>
      </c>
      <c r="B30" s="30">
        <f>'Рис. 4'!C19+(-' Рис. 5 и 6'!B21-'Рис. 4'!B24)*30/365</f>
        <v>-85.831506849315105</v>
      </c>
    </row>
    <row r="31" spans="1:3" x14ac:dyDescent="0.25">
      <c r="A31" s="23" t="s">
        <v>64</v>
      </c>
    </row>
    <row r="32" spans="1:3" x14ac:dyDescent="0.25">
      <c r="A32" s="23" t="s">
        <v>90</v>
      </c>
      <c r="B32" s="30">
        <f>'Рис. 4'!C16-'Рис. 4'!B16*90%</f>
        <v>-212.5</v>
      </c>
    </row>
  </sheetData>
  <mergeCells count="1">
    <mergeCell ref="A29:C29"/>
  </mergeCells>
  <pageMargins left="0.7" right="0.7" top="0.75" bottom="0.75" header="0.3" footer="0.3"/>
  <ignoredErrors>
    <ignoredError sqref="C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25" sqref="D25"/>
    </sheetView>
  </sheetViews>
  <sheetFormatPr defaultRowHeight="15" x14ac:dyDescent="0.25"/>
  <cols>
    <col min="1" max="1" width="19.28515625" bestFit="1" customWidth="1"/>
    <col min="2" max="2" width="9.42578125" bestFit="1" customWidth="1"/>
    <col min="4" max="4" width="24.85546875" bestFit="1" customWidth="1"/>
  </cols>
  <sheetData>
    <row r="1" spans="1:5" x14ac:dyDescent="0.25">
      <c r="A1" t="s">
        <v>94</v>
      </c>
      <c r="B1" s="35">
        <v>40179</v>
      </c>
      <c r="D1" t="s">
        <v>94</v>
      </c>
      <c r="E1" s="35">
        <v>40179</v>
      </c>
    </row>
    <row r="2" spans="1:5" x14ac:dyDescent="0.25">
      <c r="A2" t="s">
        <v>95</v>
      </c>
      <c r="B2" s="35">
        <v>45658</v>
      </c>
      <c r="D2" t="s">
        <v>95</v>
      </c>
      <c r="E2" s="35">
        <v>45658</v>
      </c>
    </row>
    <row r="3" spans="1:5" x14ac:dyDescent="0.25">
      <c r="A3" t="s">
        <v>96</v>
      </c>
      <c r="B3" s="36">
        <v>0.08</v>
      </c>
      <c r="D3" t="s">
        <v>96</v>
      </c>
      <c r="E3" s="36">
        <v>0.08</v>
      </c>
    </row>
    <row r="4" spans="1:5" x14ac:dyDescent="0.25">
      <c r="A4" t="s">
        <v>100</v>
      </c>
      <c r="D4" t="s">
        <v>100</v>
      </c>
    </row>
    <row r="5" spans="1:5" x14ac:dyDescent="0.25">
      <c r="A5" t="s">
        <v>97</v>
      </c>
      <c r="B5" s="36">
        <v>0.12</v>
      </c>
      <c r="D5" t="s">
        <v>99</v>
      </c>
      <c r="E5" s="37">
        <v>100</v>
      </c>
    </row>
    <row r="6" spans="1:5" x14ac:dyDescent="0.25">
      <c r="A6" t="s">
        <v>99</v>
      </c>
      <c r="B6" s="37">
        <v>100</v>
      </c>
      <c r="D6" t="s">
        <v>98</v>
      </c>
      <c r="E6" s="38">
        <v>78.400000000000006</v>
      </c>
    </row>
    <row r="7" spans="1:5" x14ac:dyDescent="0.25">
      <c r="A7" t="s">
        <v>98</v>
      </c>
      <c r="B7" s="38">
        <f>PRICE(B1,B2,B3,B5,B6,1,1)</f>
        <v>72.756542042139955</v>
      </c>
      <c r="D7" t="s">
        <v>97</v>
      </c>
      <c r="E7" s="39">
        <f>YIELD(E1,E2,E3,E6,E5,1,1)</f>
        <v>0.11004566400721914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 и 2</vt:lpstr>
      <vt:lpstr>Рис. 3</vt:lpstr>
      <vt:lpstr>Рис. 4</vt:lpstr>
      <vt:lpstr> Рис. 5 и 6</vt:lpstr>
      <vt:lpstr>Рис.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2013-09-29T06:12:20Z</dcterms:created>
  <dcterms:modified xsi:type="dcterms:W3CDTF">2013-10-01T19:06:31Z</dcterms:modified>
</cp:coreProperties>
</file>